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2396"/>
  </bookViews>
  <sheets>
    <sheet name="使用說明" sheetId="11" r:id="rId1"/>
    <sheet name="經費試算表" sheetId="1" r:id="rId2"/>
    <sheet name="稿費" sheetId="12" state="hidden" r:id="rId3"/>
    <sheet name="審查費" sheetId="13" state="hidden" r:id="rId4"/>
    <sheet name="膳食費" sheetId="10" state="hidden" r:id="rId5"/>
    <sheet name="資料驗證" sheetId="9" state="hidden" r:id="rId6"/>
    <sheet name="投保身分" sheetId="6" state="hidden" r:id="rId7"/>
    <sheet name="稿費基準" sheetId="5" state="hidden" r:id="rId8"/>
    <sheet name="試算" sheetId="3" state="hidden" r:id="rId9"/>
    <sheet name="工作表4" sheetId="4" state="hidden" r:id="rId10"/>
    <sheet name="級距表" sheetId="2" r:id="rId11"/>
  </sheets>
  <definedNames>
    <definedName name="_xlnm._FilterDatabase" localSheetId="10" hidden="1">級距表!$A$4:$E$4</definedName>
    <definedName name="_xlnm.Print_Area" localSheetId="1">經費試算表!$A$1:$H$70</definedName>
  </definedNames>
  <calcPr calcId="152511"/>
</workbook>
</file>

<file path=xl/calcChain.xml><?xml version="1.0" encoding="utf-8"?>
<calcChain xmlns="http://schemas.openxmlformats.org/spreadsheetml/2006/main">
  <c r="D50" i="1" l="1"/>
  <c r="H32" i="1"/>
  <c r="G32" i="1"/>
  <c r="G40" i="1" s="1"/>
  <c r="G29" i="1"/>
  <c r="F50" i="1"/>
  <c r="G12" i="1"/>
  <c r="F33" i="1"/>
  <c r="C33" i="1"/>
  <c r="F30" i="1"/>
  <c r="C30" i="1"/>
  <c r="H29" i="1" s="1"/>
  <c r="E49" i="1" l="1"/>
  <c r="D49" i="1"/>
  <c r="D17" i="1"/>
  <c r="C17" i="1"/>
  <c r="B72" i="1" l="1"/>
  <c r="G42" i="1"/>
  <c r="B6" i="1"/>
  <c r="G57" i="1"/>
  <c r="E47" i="1"/>
  <c r="G46" i="1" s="1"/>
  <c r="G22" i="1"/>
  <c r="G23" i="1"/>
  <c r="G24" i="1"/>
  <c r="G25" i="1"/>
  <c r="G26" i="1"/>
  <c r="G27" i="1"/>
  <c r="G28" i="1"/>
  <c r="G21" i="1"/>
  <c r="B58" i="1"/>
  <c r="G35" i="1"/>
  <c r="E17" i="1"/>
  <c r="H46" i="1" l="1"/>
  <c r="B39" i="1"/>
  <c r="F49" i="1"/>
  <c r="H48" i="1" s="1"/>
  <c r="E15" i="1"/>
  <c r="G15" i="1" s="1"/>
  <c r="H15" i="1" l="1"/>
  <c r="G76" i="1"/>
  <c r="G74" i="1"/>
  <c r="C53" i="1"/>
  <c r="C6" i="1" l="1"/>
  <c r="G48" i="1" l="1"/>
  <c r="B19" i="1" s="1"/>
  <c r="E12" i="1"/>
  <c r="H12" i="1" s="1"/>
  <c r="B5" i="1" l="1"/>
  <c r="B9" i="1"/>
  <c r="B4" i="1" s="1"/>
  <c r="D17" i="5"/>
  <c r="B7" i="1" l="1"/>
  <c r="C7" i="1" s="1"/>
  <c r="D5" i="3"/>
  <c r="C5" i="3"/>
  <c r="B5" i="3"/>
  <c r="C13" i="3"/>
  <c r="E5" i="3"/>
  <c r="C4" i="1" l="1"/>
  <c r="F5" i="3"/>
  <c r="F8" i="3" s="1"/>
</calcChain>
</file>

<file path=xl/sharedStrings.xml><?xml version="1.0" encoding="utf-8"?>
<sst xmlns="http://schemas.openxmlformats.org/spreadsheetml/2006/main" count="348" uniqueCount="271">
  <si>
    <t>競賽獎金</t>
  </si>
  <si>
    <t>勞保</t>
  </si>
  <si>
    <t>勞退</t>
  </si>
  <si>
    <t>印刷費</t>
  </si>
  <si>
    <t>單位</t>
    <phoneticPr fontId="5" type="noConversion"/>
  </si>
  <si>
    <t>大同大學兼任助理、工讀生
勞保退預估參考表
110.01.01起適用</t>
    <phoneticPr fontId="5" type="noConversion"/>
  </si>
  <si>
    <t>給付
薪資總額</t>
  </si>
  <si>
    <r>
      <t xml:space="preserve">雇主負擔
勞保費用
</t>
    </r>
    <r>
      <rPr>
        <sz val="6"/>
        <color theme="1"/>
        <rFont val="微軟正黑體"/>
        <family val="2"/>
        <charset val="136"/>
      </rPr>
      <t>(含職災及工資墊償)</t>
    </r>
    <phoneticPr fontId="5" type="noConversion"/>
  </si>
  <si>
    <t>雇主負擔
勞退費用
(6%)</t>
    <phoneticPr fontId="5" type="noConversion"/>
  </si>
  <si>
    <t>~</t>
    <phoneticPr fontId="5" type="noConversion"/>
  </si>
  <si>
    <t>~</t>
    <phoneticPr fontId="5" type="noConversion"/>
  </si>
  <si>
    <t>~</t>
    <phoneticPr fontId="5" type="noConversion"/>
  </si>
  <si>
    <t>~</t>
    <phoneticPr fontId="5" type="noConversion"/>
  </si>
  <si>
    <t>~</t>
    <phoneticPr fontId="5" type="noConversion"/>
  </si>
  <si>
    <t>薪資試算</t>
    <phoneticPr fontId="5" type="noConversion"/>
  </si>
  <si>
    <t>薪資</t>
  </si>
  <si>
    <t>級距</t>
  </si>
  <si>
    <t>雇主勞保</t>
    <phoneticPr fontId="5" type="noConversion"/>
  </si>
  <si>
    <t>雇主勞退</t>
    <phoneticPr fontId="5" type="noConversion"/>
  </si>
  <si>
    <t>補充保費</t>
    <phoneticPr fontId="5" type="noConversion"/>
  </si>
  <si>
    <t>每月勞保退及補充保費</t>
    <phoneticPr fontId="5" type="noConversion"/>
  </si>
  <si>
    <t>請填寫薪資</t>
  </si>
  <si>
    <t>月數</t>
    <phoneticPr fontId="5" type="noConversion"/>
  </si>
  <si>
    <t>執行期間總計</t>
    <phoneticPr fontId="5" type="noConversion"/>
  </si>
  <si>
    <t>時薪換算</t>
    <phoneticPr fontId="5" type="noConversion"/>
  </si>
  <si>
    <t>時薪</t>
    <phoneticPr fontId="5" type="noConversion"/>
  </si>
  <si>
    <t>每月
工讀時數</t>
    <phoneticPr fontId="5" type="noConversion"/>
  </si>
  <si>
    <t>每月薪資</t>
    <phoneticPr fontId="5" type="noConversion"/>
  </si>
  <si>
    <t>請填寫時數</t>
    <phoneticPr fontId="5" type="noConversion"/>
  </si>
  <si>
    <t>元/小時</t>
    <phoneticPr fontId="5" type="noConversion"/>
  </si>
  <si>
    <t>元/小時</t>
    <phoneticPr fontId="5" type="noConversion"/>
  </si>
  <si>
    <t>元/小時</t>
    <phoneticPr fontId="5" type="noConversion"/>
  </si>
  <si>
    <t>小時</t>
    <phoneticPr fontId="5" type="noConversion"/>
  </si>
  <si>
    <t>小時</t>
    <phoneticPr fontId="5" type="noConversion"/>
  </si>
  <si>
    <t>小時</t>
    <phoneticPr fontId="5" type="noConversion"/>
  </si>
  <si>
    <t>次</t>
    <phoneticPr fontId="5" type="noConversion"/>
  </si>
  <si>
    <t>稿費</t>
    <phoneticPr fontId="5" type="noConversion"/>
  </si>
  <si>
    <t>每頁</t>
    <phoneticPr fontId="5" type="noConversion"/>
  </si>
  <si>
    <t>每張</t>
    <phoneticPr fontId="5" type="noConversion"/>
  </si>
  <si>
    <t>每件</t>
    <phoneticPr fontId="5" type="noConversion"/>
  </si>
  <si>
    <t>國內專家 2,000元/小時</t>
    <phoneticPr fontId="5" type="noConversion"/>
  </si>
  <si>
    <t>本校教師 1,000元/小時</t>
    <phoneticPr fontId="5" type="noConversion"/>
  </si>
  <si>
    <t>單次
1,000~2,500元</t>
    <phoneticPr fontId="5" type="noConversion"/>
  </si>
  <si>
    <t>講座鐘點費</t>
    <phoneticPr fontId="5" type="noConversion"/>
  </si>
  <si>
    <t>保險費</t>
    <phoneticPr fontId="5" type="noConversion"/>
  </si>
  <si>
    <t>核實報銷</t>
    <phoneticPr fontId="5" type="noConversion"/>
  </si>
  <si>
    <t>核實報銷</t>
    <phoneticPr fontId="5" type="noConversion"/>
  </si>
  <si>
    <t>核實報銷</t>
    <phoneticPr fontId="5" type="noConversion"/>
  </si>
  <si>
    <t>國外聘請 2,400元/小時</t>
    <phoneticPr fontId="5" type="noConversion"/>
  </si>
  <si>
    <t>雜支</t>
    <phoneticPr fontId="5" type="noConversion"/>
  </si>
  <si>
    <t>出席費</t>
    <phoneticPr fontId="5" type="noConversion"/>
  </si>
  <si>
    <t>式</t>
    <phoneticPr fontId="5" type="noConversion"/>
  </si>
  <si>
    <t>式</t>
    <phoneticPr fontId="5" type="noConversion"/>
  </si>
  <si>
    <t>人事費</t>
    <phoneticPr fontId="5" type="noConversion"/>
  </si>
  <si>
    <t>業務費</t>
    <phoneticPr fontId="5" type="noConversion"/>
  </si>
  <si>
    <t>設備費</t>
    <phoneticPr fontId="5" type="noConversion"/>
  </si>
  <si>
    <t>整冊書籍濃縮(外文譯中文，810-1220/每千字，以中文計)</t>
    <phoneticPr fontId="5" type="noConversion"/>
  </si>
  <si>
    <t>整冊書籍濃縮(中文譯外文，1020~1630/每千字，以外文計)</t>
    <phoneticPr fontId="5" type="noConversion"/>
  </si>
  <si>
    <t>撰稿(一般稿件：中文，680-1020/每千字)</t>
    <phoneticPr fontId="5" type="noConversion"/>
  </si>
  <si>
    <t>撰稿(特別稿件：中文，810-1420/每千字，一般或特別稿件由機關學校自行認定)</t>
    <phoneticPr fontId="5" type="noConversion"/>
  </si>
  <si>
    <t>編稿(文字稿：中文，300-410/每千字)</t>
    <phoneticPr fontId="5" type="noConversion"/>
  </si>
  <si>
    <t>編稿(文字稿：外文，410-680/每千字)</t>
    <phoneticPr fontId="5" type="noConversion"/>
  </si>
  <si>
    <t>編稿(圖片稿：135-200/每張)</t>
    <phoneticPr fontId="5" type="noConversion"/>
  </si>
  <si>
    <t>圖片版權(2700-8110/每張)</t>
    <phoneticPr fontId="5" type="noConversion"/>
  </si>
  <si>
    <t>撰稿(特別稿件：中文，1020-1630/每千字，一般或特別稿件由機關學校自行認定)</t>
    <phoneticPr fontId="5" type="noConversion"/>
  </si>
  <si>
    <t>圖片使用(一般稿件：270-1080/每張，一般或特別稿件由機關學校自行認定)</t>
    <phoneticPr fontId="5" type="noConversion"/>
  </si>
  <si>
    <t>圖片使用(專業稿件：1360-4060/每張，一般或特別稿件由機關學校自行認定)</t>
    <phoneticPr fontId="5" type="noConversion"/>
  </si>
  <si>
    <t>設計完稿(海報：5405-20280/每張)</t>
    <phoneticPr fontId="5" type="noConversion"/>
  </si>
  <si>
    <t>設計完稿(宣傳摺頁：1080-3240/每頁)</t>
    <phoneticPr fontId="5" type="noConversion"/>
  </si>
  <si>
    <t>設計完稿(宣傳摺頁：4060-13510/每件)</t>
    <phoneticPr fontId="5" type="noConversion"/>
  </si>
  <si>
    <t>譯稿及潤稿(公開市場機制，不另訂基準。潤稿支給僅限極為專業之譯稿，由機關學校本於權責自行斟酌辦理)</t>
    <phoneticPr fontId="5" type="noConversion"/>
  </si>
  <si>
    <t>審查(圖片、海報、宣傳摺頁等：由機關學校本於權責自行衡酌辦理，不訂定基準)</t>
    <phoneticPr fontId="5" type="noConversion"/>
  </si>
  <si>
    <t>項目</t>
    <phoneticPr fontId="5" type="noConversion"/>
  </si>
  <si>
    <t>基準上限</t>
    <phoneticPr fontId="5" type="noConversion"/>
  </si>
  <si>
    <t>基準下限</t>
    <phoneticPr fontId="5" type="noConversion"/>
  </si>
  <si>
    <t>每千字</t>
  </si>
  <si>
    <t>每千字</t>
    <phoneticPr fontId="5" type="noConversion"/>
  </si>
  <si>
    <t>每頁</t>
    <phoneticPr fontId="5" type="noConversion"/>
  </si>
  <si>
    <t>每件</t>
    <phoneticPr fontId="5" type="noConversion"/>
  </si>
  <si>
    <t>審查(中文：810/每件)</t>
    <phoneticPr fontId="5" type="noConversion"/>
  </si>
  <si>
    <t>審查(外文：1220/每件)</t>
    <phoneticPr fontId="5" type="noConversion"/>
  </si>
  <si>
    <t>審查(中文：200/每千字)</t>
    <phoneticPr fontId="5" type="noConversion"/>
  </si>
  <si>
    <t>審查(外文：250/每千字)</t>
    <phoneticPr fontId="5" type="noConversion"/>
  </si>
  <si>
    <t>無基準</t>
    <phoneticPr fontId="5" type="noConversion"/>
  </si>
  <si>
    <t>校對(撰稿費之5%~10%)</t>
    <phoneticPr fontId="5" type="noConversion"/>
  </si>
  <si>
    <t>(撰稿費之5%~10%)</t>
    <phoneticPr fontId="5" type="noConversion"/>
  </si>
  <si>
    <t>月數</t>
    <phoneticPr fontId="5" type="noConversion"/>
  </si>
  <si>
    <t>小計</t>
    <phoneticPr fontId="5" type="noConversion"/>
  </si>
  <si>
    <t>每月薪資</t>
    <phoneticPr fontId="5" type="noConversion"/>
  </si>
  <si>
    <t>說明</t>
    <phoneticPr fontId="5" type="noConversion"/>
  </si>
  <si>
    <t>業務費</t>
    <phoneticPr fontId="5" type="noConversion"/>
  </si>
  <si>
    <t>投保身分</t>
    <phoneticPr fontId="5" type="noConversion"/>
  </si>
  <si>
    <t>學生(勞保)</t>
  </si>
  <si>
    <t>學生(勞保)</t>
    <phoneticPr fontId="5" type="noConversion"/>
  </si>
  <si>
    <t>教職員(勞保)</t>
    <phoneticPr fontId="5" type="noConversion"/>
  </si>
  <si>
    <t>教職員(公保)</t>
    <phoneticPr fontId="5" type="noConversion"/>
  </si>
  <si>
    <t>主持費</t>
    <phoneticPr fontId="5" type="noConversion"/>
  </si>
  <si>
    <t>引言費</t>
    <phoneticPr fontId="5" type="noConversion"/>
  </si>
  <si>
    <t>設定單價</t>
    <phoneticPr fontId="5" type="noConversion"/>
  </si>
  <si>
    <t>數量</t>
    <phoneticPr fontId="5" type="noConversion"/>
  </si>
  <si>
    <t>單位</t>
    <phoneticPr fontId="5" type="noConversion"/>
  </si>
  <si>
    <t>元/次</t>
    <phoneticPr fontId="5" type="noConversion"/>
  </si>
  <si>
    <t>訪視費</t>
    <phoneticPr fontId="5" type="noConversion"/>
  </si>
  <si>
    <t>元/次</t>
    <phoneticPr fontId="5" type="noConversion"/>
  </si>
  <si>
    <t>小計</t>
    <phoneticPr fontId="5" type="noConversion"/>
  </si>
  <si>
    <t>編列說明</t>
    <phoneticPr fontId="5" type="noConversion"/>
  </si>
  <si>
    <t>評鑑費</t>
    <phoneticPr fontId="5" type="noConversion"/>
  </si>
  <si>
    <t>回經費試算表</t>
    <phoneticPr fontId="5" type="noConversion"/>
  </si>
  <si>
    <t>教材費</t>
    <phoneticPr fontId="5" type="noConversion"/>
  </si>
  <si>
    <t>每月工時</t>
    <phoneticPr fontId="5" type="noConversion"/>
  </si>
  <si>
    <t>投保身分</t>
    <phoneticPr fontId="5" type="noConversion"/>
  </si>
  <si>
    <t>勞保</t>
    <phoneticPr fontId="5" type="noConversion"/>
  </si>
  <si>
    <t>雇主負擔
補充保費</t>
    <phoneticPr fontId="5" type="noConversion"/>
  </si>
  <si>
    <t>工讀金</t>
    <phoneticPr fontId="5" type="noConversion"/>
  </si>
  <si>
    <t>臨時工讀生
勞保、勞退
及補充保費</t>
    <phoneticPr fontId="5" type="noConversion"/>
  </si>
  <si>
    <t>依前項工讀金每月薪資對應級距計算相關費用。</t>
    <phoneticPr fontId="5" type="noConversion"/>
  </si>
  <si>
    <t>資料蒐集費</t>
    <phoneticPr fontId="5" type="noConversion"/>
  </si>
  <si>
    <t>核實報銷</t>
    <phoneticPr fontId="5" type="noConversion"/>
  </si>
  <si>
    <t>資料檢索費</t>
    <phoneticPr fontId="5" type="noConversion"/>
  </si>
  <si>
    <t>國內旅費、車資、運費</t>
    <phoneticPr fontId="5" type="noConversion"/>
  </si>
  <si>
    <t>全民健康保險
補充保費</t>
    <phoneticPr fontId="5" type="noConversion"/>
  </si>
  <si>
    <t>[其他]
受邀專家/講師
交通費</t>
    <phoneticPr fontId="5" type="noConversion"/>
  </si>
  <si>
    <t>[其他]膳食費</t>
    <phoneticPr fontId="5" type="noConversion"/>
  </si>
  <si>
    <t>[其他]
國內差旅費</t>
    <phoneticPr fontId="5" type="noConversion"/>
  </si>
  <si>
    <t>設備使用費</t>
    <phoneticPr fontId="5" type="noConversion"/>
  </si>
  <si>
    <t>研究倫理審查費</t>
    <phoneticPr fontId="5" type="noConversion"/>
  </si>
  <si>
    <t>[其他]
軟體使用費</t>
    <phoneticPr fontId="5" type="noConversion"/>
  </si>
  <si>
    <t>核實報銷
(請自行斟酌)</t>
    <phoneticPr fontId="5" type="noConversion"/>
  </si>
  <si>
    <t>核實報銷
(請自行斟酌)</t>
    <phoneticPr fontId="5" type="noConversion"/>
  </si>
  <si>
    <t>核實報銷
以不超過總額之3%為限</t>
    <phoneticPr fontId="5" type="noConversion"/>
  </si>
  <si>
    <t>[其他]
國外投稿費
研討會註冊費</t>
    <phoneticPr fontId="5" type="noConversion"/>
  </si>
  <si>
    <t>[其他]
論文編修及發表費</t>
    <phoneticPr fontId="5" type="noConversion"/>
  </si>
  <si>
    <t>單價</t>
    <phoneticPr fontId="5" type="noConversion"/>
  </si>
  <si>
    <t>設備費</t>
    <phoneticPr fontId="5" type="noConversion"/>
  </si>
  <si>
    <t>張</t>
    <phoneticPr fontId="5" type="noConversion"/>
  </si>
  <si>
    <t>頁</t>
    <phoneticPr fontId="5" type="noConversion"/>
  </si>
  <si>
    <t>冊/本</t>
    <phoneticPr fontId="5" type="noConversion"/>
  </si>
  <si>
    <t>人事費</t>
    <phoneticPr fontId="5" type="noConversion"/>
  </si>
  <si>
    <t>第一名</t>
    <phoneticPr fontId="5" type="noConversion"/>
  </si>
  <si>
    <t>第二名</t>
    <phoneticPr fontId="5" type="noConversion"/>
  </si>
  <si>
    <t>第三名</t>
    <phoneticPr fontId="5" type="noConversion"/>
  </si>
  <si>
    <t>佳作</t>
    <phoneticPr fontId="5" type="noConversion"/>
  </si>
  <si>
    <t>諮詢費</t>
    <phoneticPr fontId="5" type="noConversion"/>
  </si>
  <si>
    <t>輔導費</t>
    <phoneticPr fontId="5" type="noConversion"/>
  </si>
  <si>
    <t>指導費</t>
    <phoneticPr fontId="5" type="noConversion"/>
  </si>
  <si>
    <t>總金額</t>
    <phoneticPr fontId="5" type="noConversion"/>
  </si>
  <si>
    <t>每千字</t>
    <phoneticPr fontId="5" type="noConversion"/>
  </si>
  <si>
    <t>計價方式</t>
    <phoneticPr fontId="5" type="noConversion"/>
  </si>
  <si>
    <t>學生(勞保)</t>
    <phoneticPr fontId="5" type="noConversion"/>
  </si>
  <si>
    <t>頁</t>
    <phoneticPr fontId="5" type="noConversion"/>
  </si>
  <si>
    <t>教職員(勞保)</t>
    <phoneticPr fontId="5" type="noConversion"/>
  </si>
  <si>
    <t>本/冊</t>
    <phoneticPr fontId="5" type="noConversion"/>
  </si>
  <si>
    <t>專業翻譯社/公司</t>
    <phoneticPr fontId="5" type="noConversion"/>
  </si>
  <si>
    <t>教職員(公保)</t>
    <phoneticPr fontId="5" type="noConversion"/>
  </si>
  <si>
    <t>校外專家或獨立作業者</t>
    <phoneticPr fontId="5" type="noConversion"/>
  </si>
  <si>
    <t>112年教學實踐研究計畫經費編列試算表</t>
    <phoneticPr fontId="5" type="noConversion"/>
  </si>
  <si>
    <t>計畫主持人費</t>
  </si>
  <si>
    <t>兼任行政助理費</t>
    <phoneticPr fontId="5" type="noConversion"/>
  </si>
  <si>
    <t>姓名</t>
    <phoneticPr fontId="5" type="noConversion"/>
  </si>
  <si>
    <t>姓名</t>
    <phoneticPr fontId="5" type="noConversion"/>
  </si>
  <si>
    <t>合計</t>
    <phoneticPr fontId="5" type="noConversion"/>
  </si>
  <si>
    <t>雇主負擔
補充保費</t>
    <phoneticPr fontId="5" type="noConversion"/>
  </si>
  <si>
    <t>補充保費</t>
    <phoneticPr fontId="5" type="noConversion"/>
  </si>
  <si>
    <t>每月雇主負擔勞保退及補充保費</t>
    <phoneticPr fontId="5" type="noConversion"/>
  </si>
  <si>
    <t>每月
薪資</t>
    <phoneticPr fontId="5" type="noConversion"/>
  </si>
  <si>
    <t>5000~8000元(每月)</t>
    <phoneticPr fontId="5" type="noConversion"/>
  </si>
  <si>
    <t>3000~5000元(每月)</t>
    <phoneticPr fontId="5" type="noConversion"/>
  </si>
  <si>
    <t>請選擇</t>
    <phoneticPr fontId="5" type="noConversion"/>
  </si>
  <si>
    <t>注意事項</t>
    <phoneticPr fontId="5" type="noConversion"/>
  </si>
  <si>
    <r>
      <t xml:space="preserve">2,000~6,000元/人次
半日以4,000為編列上限
</t>
    </r>
    <r>
      <rPr>
        <sz val="12"/>
        <color rgb="FFFF0000"/>
        <rFont val="微軟正黑體"/>
        <family val="2"/>
        <charset val="136"/>
      </rPr>
      <t>請自行斟酌</t>
    </r>
    <phoneticPr fontId="5" type="noConversion"/>
  </si>
  <si>
    <r>
      <t xml:space="preserve">核實報銷，總額不得超過30,000元
</t>
    </r>
    <r>
      <rPr>
        <sz val="12"/>
        <color rgb="FFFF0000"/>
        <rFont val="微軟正黑體"/>
        <family val="2"/>
        <charset val="136"/>
      </rPr>
      <t>請自行斟酌</t>
    </r>
    <phoneticPr fontId="5" type="noConversion"/>
  </si>
  <si>
    <t>支付標準</t>
    <phoneticPr fontId="5" type="noConversion"/>
  </si>
  <si>
    <r>
      <t xml:space="preserve">1,000~4,000元/人次
半日以2,500為編列上限
</t>
    </r>
    <r>
      <rPr>
        <sz val="12"/>
        <color rgb="FFFF0000"/>
        <rFont val="微軟正黑體"/>
        <family val="2"/>
        <charset val="136"/>
      </rPr>
      <t>請自行斟酌</t>
    </r>
    <phoneticPr fontId="5" type="noConversion"/>
  </si>
  <si>
    <t>核實報銷</t>
    <phoneticPr fontId="5" type="noConversion"/>
  </si>
  <si>
    <t>獎項</t>
    <phoneticPr fontId="5" type="noConversion"/>
  </si>
  <si>
    <t>獎金</t>
    <phoneticPr fontId="5" type="noConversion"/>
  </si>
  <si>
    <t>得獎名額</t>
    <phoneticPr fontId="5" type="noConversion"/>
  </si>
  <si>
    <t>茶水</t>
    <phoneticPr fontId="5" type="noConversion"/>
  </si>
  <si>
    <t>早餐(含茶水)</t>
    <phoneticPr fontId="5" type="noConversion"/>
  </si>
  <si>
    <t>午餐或晚餐(含茶水)</t>
    <phoneticPr fontId="5" type="noConversion"/>
  </si>
  <si>
    <t xml:space="preserve">第一日/單日行程(不含早餐) </t>
    <phoneticPr fontId="5" type="noConversion"/>
  </si>
  <si>
    <t>第二日行程(含早餐)</t>
    <phoneticPr fontId="5" type="noConversion"/>
  </si>
  <si>
    <t>午餐或晚餐(含茶水)</t>
  </si>
  <si>
    <t>計算標準</t>
    <phoneticPr fontId="5" type="noConversion"/>
  </si>
  <si>
    <t>每人費用</t>
    <phoneticPr fontId="5" type="noConversion"/>
  </si>
  <si>
    <t>人數</t>
    <phoneticPr fontId="5" type="noConversion"/>
  </si>
  <si>
    <t>依111年2月24日大同大學行政會議通過標準辦理</t>
    <phoneticPr fontId="5" type="noConversion"/>
  </si>
  <si>
    <t>請選擇類別以查詢支付標準</t>
  </si>
  <si>
    <t>請選擇類別以查詢支付標準</t>
    <phoneticPr fontId="5" type="noConversion"/>
  </si>
  <si>
    <t>報支金額上限(單位：每人)</t>
    <phoneticPr fontId="5" type="noConversion"/>
  </si>
  <si>
    <t>本計畫支應專家、講師報酬,另計算全民健康保險補充保費。</t>
    <phoneticPr fontId="5" type="noConversion"/>
  </si>
  <si>
    <t>(支應學生購買實作材料，或製作教具之材料，請編到材料費)</t>
    <phoneticPr fontId="5" type="noConversion"/>
  </si>
  <si>
    <t>(訪視活動屬於校對校之間的實地訪查，有訪評、視察之意，非一般教學課程計畫常見費用，如確實有必要性及專門性，建議另以學術單位名義從學校整體型計畫申請相關經費。)</t>
    <phoneticPr fontId="5" type="noConversion"/>
  </si>
  <si>
    <t>(評鑑作業屬於上對下或第三方機構提供學校評鑑服務之過程，有管考、查核之意，非一般教學課程計畫常見費用，如確實有必要性及專門性，建議另以學術單位從學校整體型計畫申請相關經費。)</t>
    <phoneticPr fontId="5" type="noConversion"/>
  </si>
  <si>
    <t>以上給付自然人之報酬，依二代健保規定另編2.11%雇主負擔補充保費。</t>
    <phoneticPr fontId="5" type="noConversion"/>
  </si>
  <si>
    <t>聘期(月)</t>
    <phoneticPr fontId="5" type="noConversion"/>
  </si>
  <si>
    <t>自112年1月1日起
176元 / 每小時</t>
    <phoneticPr fontId="5" type="noConversion"/>
  </si>
  <si>
    <t>聘僱人數</t>
    <phoneticPr fontId="5" type="noConversion"/>
  </si>
  <si>
    <t>聘期(月)</t>
    <phoneticPr fontId="5" type="noConversion"/>
  </si>
  <si>
    <t>核實報銷
請依各研究倫理中心
公告定價編列</t>
    <phoneticPr fontId="5" type="noConversion"/>
  </si>
  <si>
    <t>核實報銷</t>
    <phoneticPr fontId="5" type="noConversion"/>
  </si>
  <si>
    <t>OOO</t>
    <phoneticPr fontId="5" type="noConversion"/>
  </si>
  <si>
    <t>OOO</t>
    <phoneticPr fontId="5" type="noConversion"/>
  </si>
  <si>
    <t>使用說明</t>
    <phoneticPr fontId="5" type="noConversion"/>
  </si>
  <si>
    <t>[其他]
物品費</t>
    <phoneticPr fontId="5" type="noConversion"/>
  </si>
  <si>
    <t>紫色欄位為輔助項目，可查詢費用支付基準。</t>
    <phoneticPr fontId="5" type="noConversion"/>
  </si>
  <si>
    <t>前往經費試算表</t>
    <phoneticPr fontId="5" type="noConversion"/>
  </si>
  <si>
    <t>本表僅用於協助教師計算申請經費，詳細經費說明請詳閱：</t>
    <phoneticPr fontId="5" type="noConversion"/>
  </si>
  <si>
    <t>藍色欄位為必要輸入項目，請輸入數字或選擇項目。</t>
    <phoneticPr fontId="5" type="noConversion"/>
  </si>
  <si>
    <t>經費試算表中，部分欄位有自動計算或文字組合函數，輸入或選擇資料後會自行帶入。</t>
    <phoneticPr fontId="5" type="noConversion"/>
  </si>
  <si>
    <t>請選擇</t>
  </si>
  <si>
    <t>請選擇基準類別</t>
  </si>
  <si>
    <r>
      <t>該場次講座鐘點費另編70%以內之教材費，</t>
    </r>
    <r>
      <rPr>
        <b/>
        <sz val="14"/>
        <color rgb="FFFF0000"/>
        <rFont val="微軟正黑體"/>
        <family val="2"/>
        <charset val="136"/>
      </rPr>
      <t>請自行斟酌。</t>
    </r>
    <phoneticPr fontId="5" type="noConversion"/>
  </si>
  <si>
    <t>位/組</t>
    <phoneticPr fontId="5" type="noConversion"/>
  </si>
  <si>
    <t>稿費</t>
    <phoneticPr fontId="5" type="noConversion"/>
  </si>
  <si>
    <t>查詢中央政府各機關學校稿費支給表：</t>
    <phoneticPr fontId="5" type="noConversion"/>
  </si>
  <si>
    <t>計價方式</t>
    <phoneticPr fontId="5" type="noConversion"/>
  </si>
  <si>
    <t>計算單位</t>
    <phoneticPr fontId="5" type="noConversion"/>
  </si>
  <si>
    <t>請輸入單價</t>
    <phoneticPr fontId="5" type="noConversion"/>
  </si>
  <si>
    <t>輸入數量</t>
    <phoneticPr fontId="5" type="noConversion"/>
  </si>
  <si>
    <t>審查費</t>
    <phoneticPr fontId="5" type="noConversion"/>
  </si>
  <si>
    <t>依中央政府各機關學校稿費支給表計算</t>
    <phoneticPr fontId="5" type="noConversion"/>
  </si>
  <si>
    <t>計算單位</t>
    <phoneticPr fontId="5" type="noConversion"/>
  </si>
  <si>
    <t>請選擇基準類別</t>
    <phoneticPr fontId="5" type="noConversion"/>
  </si>
  <si>
    <t>對應計價方式</t>
    <phoneticPr fontId="5" type="noConversion"/>
  </si>
  <si>
    <t>對應計價方式</t>
    <phoneticPr fontId="5" type="noConversion"/>
  </si>
  <si>
    <t>對應計算單位</t>
    <phoneticPr fontId="5" type="noConversion"/>
  </si>
  <si>
    <t>對應計算單位</t>
    <phoneticPr fontId="5" type="noConversion"/>
  </si>
  <si>
    <t>撰稿(一般稿件：中文)</t>
    <phoneticPr fontId="5" type="noConversion"/>
  </si>
  <si>
    <t>1,100元至1,600元</t>
    <phoneticPr fontId="5" type="noConversion"/>
  </si>
  <si>
    <t>每千字</t>
    <phoneticPr fontId="5" type="noConversion"/>
  </si>
  <si>
    <t>撰稿(特別稿件)(中文)-每千字</t>
    <phoneticPr fontId="5" type="noConversion"/>
  </si>
  <si>
    <t>1,600元至3,000元</t>
    <phoneticPr fontId="5" type="noConversion"/>
  </si>
  <si>
    <t>撰稿(特別稿件)(中文)-每件</t>
    <phoneticPr fontId="5" type="noConversion"/>
  </si>
  <si>
    <t>2,000元至6,400元</t>
    <phoneticPr fontId="5" type="noConversion"/>
  </si>
  <si>
    <t>每件</t>
    <phoneticPr fontId="5" type="noConversion"/>
  </si>
  <si>
    <t>撰稿(特別稿件)(外文)-每千字</t>
    <phoneticPr fontId="5" type="noConversion"/>
  </si>
  <si>
    <t>1,020元至1,630元</t>
    <phoneticPr fontId="5" type="noConversion"/>
  </si>
  <si>
    <t>撰稿(特別稿件)(外文)-每件</t>
    <phoneticPr fontId="5" type="noConversion"/>
  </si>
  <si>
    <t>3,000元至8,000元</t>
    <phoneticPr fontId="5" type="noConversion"/>
  </si>
  <si>
    <t>校對費</t>
    <phoneticPr fontId="5" type="noConversion"/>
  </si>
  <si>
    <t>稿費之5%至10%</t>
    <phoneticPr fontId="5" type="noConversion"/>
  </si>
  <si>
    <t>至10%</t>
  </si>
  <si>
    <t>譯稿</t>
    <phoneticPr fontId="5" type="noConversion"/>
  </si>
  <si>
    <t>由各機關學校依政府採購法相關規定，或本於權責自訂基準辦理。</t>
    <phoneticPr fontId="5" type="noConversion"/>
  </si>
  <si>
    <t>潤稿</t>
    <phoneticPr fontId="5" type="noConversion"/>
  </si>
  <si>
    <t>潤稿支給，僅限極為專業之譯稿，至其是否屬極為專業之譯稿，由各機關學校本於權責自行衡酌辦理。</t>
    <phoneticPr fontId="5" type="noConversion"/>
  </si>
  <si>
    <t>整冊書籍濃縮</t>
    <phoneticPr fontId="5" type="noConversion"/>
  </si>
  <si>
    <t>編稿</t>
    <phoneticPr fontId="5" type="noConversion"/>
  </si>
  <si>
    <t>圖片使用</t>
    <phoneticPr fontId="5" type="noConversion"/>
  </si>
  <si>
    <t>圖片版權</t>
    <phoneticPr fontId="5" type="noConversion"/>
  </si>
  <si>
    <t>設計完稿</t>
    <phoneticPr fontId="5" type="noConversion"/>
  </si>
  <si>
    <t>請選擇基準類別</t>
    <phoneticPr fontId="5" type="noConversion"/>
  </si>
  <si>
    <t>審查(中文)(每千字)</t>
    <phoneticPr fontId="5" type="noConversion"/>
  </si>
  <si>
    <t>300元至380元</t>
    <phoneticPr fontId="5" type="noConversion"/>
  </si>
  <si>
    <t>每千字</t>
    <phoneticPr fontId="5" type="noConversion"/>
  </si>
  <si>
    <t>審查(中文)(每件)</t>
    <phoneticPr fontId="5" type="noConversion"/>
  </si>
  <si>
    <t>1,220元至1,830元</t>
    <phoneticPr fontId="5" type="noConversion"/>
  </si>
  <si>
    <t>每件</t>
  </si>
  <si>
    <t>審查(外文)(每千字)</t>
    <phoneticPr fontId="5" type="noConversion"/>
  </si>
  <si>
    <t>380元</t>
    <phoneticPr fontId="5" type="noConversion"/>
  </si>
  <si>
    <t>審查(外文)(每件)</t>
    <phoneticPr fontId="5" type="noConversion"/>
  </si>
  <si>
    <t>1,830元</t>
    <phoneticPr fontId="5" type="noConversion"/>
  </si>
  <si>
    <t>審查-圖片</t>
    <phoneticPr fontId="5" type="noConversion"/>
  </si>
  <si>
    <t>(請選擇)給付對象</t>
  </si>
  <si>
    <t>(請選擇)給付對象</t>
    <phoneticPr fontId="5" type="noConversion"/>
  </si>
  <si>
    <t>核實報銷
依「大同大學教職員工差旅費支給辦法」辦理</t>
    <phoneticPr fontId="5" type="noConversion"/>
  </si>
  <si>
    <t>[其他]
材料費</t>
    <phoneticPr fontId="5" type="noConversion"/>
  </si>
  <si>
    <t>若教育部未要求核定計畫須檢附IRB或倫理審查證明，請將此項目移除。</t>
    <phoneticPr fontId="5" type="noConversion"/>
  </si>
  <si>
    <t>112年度教育部教學實踐研究計畫經費編列指引</t>
    <phoneticPr fontId="5" type="noConversion"/>
  </si>
  <si>
    <t>本表僅供試算，請至計畫系統填寫修正經費表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</si>
</sst>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#,##0;[Red]#,##0"/>
    <numFmt numFmtId="179" formatCode="0_);[Red]\(0\)"/>
  </numFmts>
  <fonts count="6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color rgb="FF00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6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12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sz val="18"/>
      <color theme="1"/>
      <name val="微軟正黑體"/>
      <family val="2"/>
      <charset val="136"/>
    </font>
    <font>
      <sz val="14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4"/>
      <color rgb="FF0070C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rgb="FF000000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2"/>
      <color rgb="FF0000FF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u/>
      <sz val="12"/>
      <color theme="10"/>
      <name val="新細明體"/>
      <family val="2"/>
      <scheme val="minor"/>
    </font>
    <font>
      <b/>
      <sz val="16"/>
      <color rgb="FF0000FF"/>
      <name val="微軟正黑體"/>
      <family val="2"/>
      <charset val="136"/>
    </font>
    <font>
      <b/>
      <sz val="22"/>
      <color theme="0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sz val="22"/>
      <color theme="1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26"/>
      <color theme="0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11"/>
      <color rgb="FF0000FF"/>
      <name val="微軟正黑體"/>
      <family val="2"/>
      <charset val="136"/>
    </font>
    <font>
      <b/>
      <sz val="13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b/>
      <sz val="24"/>
      <name val="微軟正黑體"/>
      <family val="2"/>
      <charset val="136"/>
    </font>
    <font>
      <sz val="16"/>
      <name val="微軟正黑體"/>
      <family val="2"/>
      <charset val="136"/>
    </font>
    <font>
      <b/>
      <sz val="36"/>
      <color theme="0"/>
      <name val="微軟正黑體"/>
      <family val="2"/>
      <charset val="136"/>
    </font>
    <font>
      <b/>
      <sz val="20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8"/>
      <color rgb="FF2F5496"/>
      <name val="微軟正黑體"/>
      <family val="2"/>
      <charset val="136"/>
    </font>
    <font>
      <b/>
      <sz val="20"/>
      <color theme="4"/>
      <name val="微軟正黑體"/>
      <family val="2"/>
      <charset val="136"/>
    </font>
    <font>
      <b/>
      <sz val="20"/>
      <color theme="6"/>
      <name val="微軟正黑體"/>
      <family val="2"/>
      <charset val="136"/>
    </font>
    <font>
      <b/>
      <sz val="20"/>
      <color theme="9"/>
      <name val="微軟正黑體"/>
      <family val="2"/>
      <charset val="136"/>
    </font>
    <font>
      <b/>
      <sz val="20"/>
      <color rgb="FF0000FF"/>
      <name val="微軟正黑體"/>
      <family val="2"/>
      <charset val="136"/>
    </font>
    <font>
      <b/>
      <sz val="16"/>
      <color theme="6" tint="-0.249977111117893"/>
      <name val="微軟正黑體"/>
      <family val="2"/>
      <charset val="136"/>
    </font>
    <font>
      <b/>
      <sz val="16"/>
      <color theme="9" tint="-0.249977111117893"/>
      <name val="微軟正黑體"/>
      <family val="2"/>
      <charset val="136"/>
    </font>
    <font>
      <sz val="20"/>
      <color theme="1"/>
      <name val="微軟正黑體"/>
      <family val="2"/>
      <charset val="136"/>
    </font>
    <font>
      <b/>
      <sz val="20"/>
      <color theme="8" tint="-0.249977111117893"/>
      <name val="微軟正黑體"/>
      <family val="2"/>
      <charset val="136"/>
    </font>
    <font>
      <b/>
      <u/>
      <sz val="22"/>
      <color theme="8" tint="-0.249977111117893"/>
      <name val="微軟正黑體"/>
      <family val="2"/>
      <charset val="136"/>
    </font>
    <font>
      <b/>
      <u/>
      <sz val="20"/>
      <color theme="0"/>
      <name val="微軟正黑體"/>
      <family val="2"/>
      <charset val="136"/>
    </font>
    <font>
      <b/>
      <sz val="10"/>
      <color rgb="FF0000FF"/>
      <name val="微軟正黑體"/>
      <family val="2"/>
      <charset val="136"/>
    </font>
    <font>
      <u/>
      <sz val="12"/>
      <color theme="10"/>
      <name val="微軟正黑體"/>
      <family val="2"/>
      <charset val="136"/>
    </font>
    <font>
      <b/>
      <sz val="16"/>
      <color theme="8" tint="-0.249977111117893"/>
      <name val="微軟正黑體"/>
      <family val="2"/>
      <charset val="136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>
      <alignment vertical="center"/>
    </xf>
    <xf numFmtId="0" fontId="10" fillId="0" borderId="0"/>
    <xf numFmtId="44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2" applyFont="1"/>
    <xf numFmtId="176" fontId="1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13" fillId="0" borderId="0" xfId="0" applyFont="1"/>
    <xf numFmtId="0" fontId="14" fillId="3" borderId="1" xfId="2" applyFont="1" applyFill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177" fontId="17" fillId="3" borderId="1" xfId="1" applyNumberFormat="1" applyFont="1" applyFill="1" applyBorder="1" applyAlignment="1">
      <alignment horizontal="right"/>
    </xf>
    <xf numFmtId="177" fontId="15" fillId="0" borderId="1" xfId="1" applyNumberFormat="1" applyFont="1" applyBorder="1" applyAlignment="1">
      <alignment horizontal="center" vertical="center"/>
    </xf>
    <xf numFmtId="177" fontId="16" fillId="0" borderId="1" xfId="1" applyNumberFormat="1" applyFont="1" applyBorder="1" applyAlignment="1">
      <alignment horizontal="center" vertical="center"/>
    </xf>
    <xf numFmtId="177" fontId="18" fillId="0" borderId="1" xfId="1" applyNumberFormat="1" applyFont="1" applyBorder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0" fontId="19" fillId="0" borderId="0" xfId="2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/>
    <xf numFmtId="177" fontId="18" fillId="0" borderId="1" xfId="1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3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39" fillId="0" borderId="18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vertical="center"/>
    </xf>
    <xf numFmtId="49" fontId="41" fillId="0" borderId="18" xfId="0" applyNumberFormat="1" applyFont="1" applyBorder="1" applyAlignment="1">
      <alignment horizontal="justify" vertical="center"/>
    </xf>
    <xf numFmtId="49" fontId="40" fillId="0" borderId="18" xfId="0" applyNumberFormat="1" applyFont="1" applyBorder="1" applyAlignment="1">
      <alignment horizontal="justify" vertical="center"/>
    </xf>
    <xf numFmtId="49" fontId="0" fillId="0" borderId="0" xfId="0" applyNumberFormat="1"/>
    <xf numFmtId="0" fontId="28" fillId="0" borderId="0" xfId="0" applyFont="1" applyFill="1" applyBorder="1" applyAlignment="1" applyProtection="1">
      <alignment horizontal="center" vertical="center"/>
      <protection hidden="1"/>
    </xf>
    <xf numFmtId="177" fontId="28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2" fillId="7" borderId="0" xfId="0" applyFont="1" applyFill="1" applyBorder="1" applyAlignment="1" applyProtection="1">
      <alignment horizontal="center" vertical="center" wrapText="1"/>
      <protection hidden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vertical="center" wrapText="1"/>
    </xf>
    <xf numFmtId="0" fontId="11" fillId="0" borderId="0" xfId="0" applyFont="1" applyFill="1" applyBorder="1" applyProtection="1">
      <protection hidden="1"/>
    </xf>
    <xf numFmtId="0" fontId="43" fillId="0" borderId="0" xfId="0" applyFont="1" applyFill="1" applyBorder="1" applyProtection="1">
      <protection hidden="1"/>
    </xf>
    <xf numFmtId="0" fontId="42" fillId="0" borderId="0" xfId="0" applyFont="1" applyFill="1" applyBorder="1" applyAlignment="1" applyProtection="1">
      <alignment horizontal="center" vertical="center" wrapText="1"/>
      <protection hidden="1"/>
    </xf>
    <xf numFmtId="0" fontId="32" fillId="14" borderId="0" xfId="0" applyFont="1" applyFill="1" applyBorder="1" applyAlignment="1" applyProtection="1">
      <alignment vertical="center" wrapText="1"/>
      <protection hidden="1"/>
    </xf>
    <xf numFmtId="0" fontId="34" fillId="0" borderId="0" xfId="0" applyFont="1" applyBorder="1" applyProtection="1">
      <protection hidden="1"/>
    </xf>
    <xf numFmtId="0" fontId="52" fillId="7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5" fillId="0" borderId="19" xfId="0" applyFont="1" applyFill="1" applyBorder="1" applyAlignment="1" applyProtection="1">
      <alignment horizontal="center" vertical="center" wrapText="1"/>
      <protection hidden="1"/>
    </xf>
    <xf numFmtId="177" fontId="25" fillId="4" borderId="19" xfId="1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25" fillId="4" borderId="19" xfId="0" applyFont="1" applyFill="1" applyBorder="1" applyAlignment="1" applyProtection="1">
      <alignment horizontal="center" vertical="center" wrapText="1"/>
      <protection locked="0" hidden="1"/>
    </xf>
    <xf numFmtId="0" fontId="23" fillId="0" borderId="19" xfId="0" applyFont="1" applyFill="1" applyBorder="1" applyAlignment="1" applyProtection="1">
      <alignment horizontal="center" vertical="center" wrapText="1"/>
      <protection hidden="1"/>
    </xf>
    <xf numFmtId="178" fontId="4" fillId="0" borderId="19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19" xfId="0" applyFont="1" applyFill="1" applyBorder="1" applyAlignment="1" applyProtection="1">
      <alignment vertical="top" wrapText="1"/>
      <protection hidden="1"/>
    </xf>
    <xf numFmtId="0" fontId="29" fillId="0" borderId="19" xfId="0" applyFont="1" applyFill="1" applyBorder="1" applyAlignment="1" applyProtection="1">
      <alignment vertical="top" wrapText="1"/>
      <protection hidden="1"/>
    </xf>
    <xf numFmtId="179" fontId="25" fillId="4" borderId="19" xfId="0" applyNumberFormat="1" applyFont="1" applyFill="1" applyBorder="1" applyAlignment="1" applyProtection="1">
      <alignment horizontal="center" vertical="center" wrapText="1"/>
      <protection locked="0" hidden="1"/>
    </xf>
    <xf numFmtId="177" fontId="4" fillId="0" borderId="19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19" xfId="0" applyFont="1" applyFill="1" applyBorder="1" applyAlignment="1" applyProtection="1">
      <alignment horizontal="left" vertical="top" wrapText="1"/>
      <protection hidden="1"/>
    </xf>
    <xf numFmtId="177" fontId="1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177" fontId="25" fillId="4" borderId="19" xfId="1" applyNumberFormat="1" applyFont="1" applyFill="1" applyBorder="1" applyAlignment="1" applyProtection="1">
      <alignment horizontal="right" vertical="center" wrapText="1"/>
      <protection locked="0" hidden="1"/>
    </xf>
    <xf numFmtId="0" fontId="24" fillId="4" borderId="19" xfId="0" applyFont="1" applyFill="1" applyBorder="1" applyAlignment="1" applyProtection="1">
      <alignment horizontal="center" vertical="center" wrapText="1"/>
      <protection locked="0"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177" fontId="25" fillId="4" borderId="22" xfId="1" applyNumberFormat="1" applyFont="1" applyFill="1" applyBorder="1" applyAlignment="1" applyProtection="1">
      <alignment horizontal="center" vertical="center" wrapText="1"/>
      <protection locked="0" hidden="1"/>
    </xf>
    <xf numFmtId="179" fontId="25" fillId="4" borderId="22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177" fontId="38" fillId="4" borderId="19" xfId="1" applyNumberFormat="1" applyFont="1" applyFill="1" applyBorder="1" applyAlignment="1" applyProtection="1">
      <alignment horizontal="center" vertical="center"/>
      <protection locked="0" hidden="1"/>
    </xf>
    <xf numFmtId="0" fontId="25" fillId="5" borderId="19" xfId="0" applyFont="1" applyFill="1" applyBorder="1" applyAlignment="1" applyProtection="1">
      <alignment horizontal="center" vertical="center" wrapText="1"/>
      <protection locked="0"/>
    </xf>
    <xf numFmtId="0" fontId="15" fillId="6" borderId="19" xfId="0" applyFont="1" applyFill="1" applyBorder="1" applyAlignment="1" applyProtection="1">
      <alignment horizontal="center" vertical="center"/>
    </xf>
    <xf numFmtId="0" fontId="25" fillId="4" borderId="19" xfId="0" applyFont="1" applyFill="1" applyBorder="1" applyAlignment="1" applyProtection="1">
      <alignment vertical="center"/>
      <protection locked="0"/>
    </xf>
    <xf numFmtId="176" fontId="25" fillId="4" borderId="19" xfId="3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177" fontId="25" fillId="0" borderId="19" xfId="1" applyNumberFormat="1" applyFont="1" applyFill="1" applyBorder="1" applyAlignment="1" applyProtection="1">
      <alignment horizontal="right" vertical="center" wrapText="1"/>
      <protection hidden="1"/>
    </xf>
    <xf numFmtId="0" fontId="32" fillId="13" borderId="19" xfId="0" applyFont="1" applyFill="1" applyBorder="1" applyAlignment="1" applyProtection="1">
      <alignment vertical="center" wrapText="1"/>
      <protection hidden="1"/>
    </xf>
    <xf numFmtId="0" fontId="53" fillId="11" borderId="19" xfId="0" applyFont="1" applyFill="1" applyBorder="1" applyAlignment="1" applyProtection="1">
      <alignment horizontal="center" vertical="center"/>
      <protection hidden="1"/>
    </xf>
    <xf numFmtId="0" fontId="53" fillId="11" borderId="19" xfId="0" applyFont="1" applyFill="1" applyBorder="1" applyAlignment="1" applyProtection="1">
      <alignment horizontal="center" vertical="center" wrapText="1"/>
      <protection hidden="1"/>
    </xf>
    <xf numFmtId="0" fontId="24" fillId="4" borderId="19" xfId="0" applyFont="1" applyFill="1" applyBorder="1" applyAlignment="1" applyProtection="1">
      <alignment horizontal="center"/>
      <protection locked="0" hidden="1"/>
    </xf>
    <xf numFmtId="0" fontId="22" fillId="0" borderId="19" xfId="0" applyFont="1" applyBorder="1" applyProtection="1">
      <protection hidden="1"/>
    </xf>
    <xf numFmtId="0" fontId="26" fillId="4" borderId="19" xfId="0" applyFont="1" applyFill="1" applyBorder="1" applyAlignment="1" applyProtection="1">
      <alignment horizontal="right" vertical="center"/>
      <protection locked="0" hidden="1"/>
    </xf>
    <xf numFmtId="0" fontId="32" fillId="9" borderId="19" xfId="0" applyFont="1" applyFill="1" applyBorder="1" applyAlignment="1" applyProtection="1">
      <alignment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31" fillId="4" borderId="19" xfId="0" applyFont="1" applyFill="1" applyBorder="1" applyAlignment="1" applyProtection="1">
      <alignment horizontal="right" vertical="center" wrapText="1"/>
      <protection locked="0"/>
    </xf>
    <xf numFmtId="177" fontId="31" fillId="4" borderId="19" xfId="1" applyNumberFormat="1" applyFont="1" applyFill="1" applyBorder="1" applyAlignment="1" applyProtection="1">
      <alignment vertical="center" wrapText="1"/>
      <protection locked="0"/>
    </xf>
    <xf numFmtId="177" fontId="35" fillId="0" borderId="19" xfId="1" applyNumberFormat="1" applyFont="1" applyFill="1" applyBorder="1" applyAlignment="1" applyProtection="1">
      <alignment vertical="center" wrapText="1"/>
      <protection hidden="1"/>
    </xf>
    <xf numFmtId="0" fontId="20" fillId="0" borderId="19" xfId="0" applyFont="1" applyFill="1" applyBorder="1" applyAlignment="1" applyProtection="1">
      <alignment horizontal="left" vertical="center" wrapText="1"/>
      <protection hidden="1"/>
    </xf>
    <xf numFmtId="177" fontId="31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26" fillId="4" borderId="19" xfId="0" applyFont="1" applyFill="1" applyBorder="1" applyAlignment="1" applyProtection="1">
      <alignment horizontal="center" vertical="center" wrapText="1"/>
      <protection locked="0"/>
    </xf>
    <xf numFmtId="177" fontId="35" fillId="0" borderId="19" xfId="1" applyNumberFormat="1" applyFont="1" applyFill="1" applyBorder="1" applyAlignment="1" applyProtection="1">
      <alignment horizontal="center" vertical="center" wrapText="1"/>
      <protection hidden="1"/>
    </xf>
    <xf numFmtId="177" fontId="45" fillId="0" borderId="19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 wrapText="1"/>
    </xf>
    <xf numFmtId="0" fontId="45" fillId="6" borderId="19" xfId="0" applyFont="1" applyFill="1" applyBorder="1" applyAlignment="1" applyProtection="1">
      <alignment horizontal="center" vertical="center" wrapText="1"/>
      <protection hidden="1"/>
    </xf>
    <xf numFmtId="0" fontId="45" fillId="0" borderId="33" xfId="0" applyFont="1" applyFill="1" applyBorder="1" applyAlignment="1" applyProtection="1">
      <alignment horizontal="center" vertical="center" wrapText="1"/>
      <protection hidden="1"/>
    </xf>
    <xf numFmtId="177" fontId="45" fillId="0" borderId="33" xfId="1" applyNumberFormat="1" applyFont="1" applyFill="1" applyBorder="1" applyAlignment="1" applyProtection="1">
      <alignment horizontal="right" vertical="center"/>
      <protection hidden="1"/>
    </xf>
    <xf numFmtId="0" fontId="57" fillId="9" borderId="19" xfId="4" applyFont="1" applyFill="1" applyBorder="1" applyAlignment="1" applyProtection="1">
      <alignment horizontal="center" vertical="center" wrapText="1"/>
      <protection hidden="1"/>
    </xf>
    <xf numFmtId="0" fontId="57" fillId="14" borderId="19" xfId="4" applyFont="1" applyFill="1" applyBorder="1" applyAlignment="1" applyProtection="1">
      <alignment horizontal="center" vertical="center" wrapText="1"/>
      <protection hidden="1"/>
    </xf>
    <xf numFmtId="0" fontId="57" fillId="13" borderId="19" xfId="4" applyFont="1" applyFill="1" applyBorder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/>
    <xf numFmtId="0" fontId="28" fillId="0" borderId="20" xfId="0" applyFont="1" applyFill="1" applyBorder="1" applyAlignment="1" applyProtection="1">
      <alignment horizontal="center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176" fontId="25" fillId="4" borderId="21" xfId="3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29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36" fillId="8" borderId="0" xfId="0" applyFont="1" applyFill="1" applyBorder="1" applyAlignment="1" applyProtection="1">
      <alignment horizontal="center" vertical="center" wrapText="1"/>
      <protection hidden="1"/>
    </xf>
    <xf numFmtId="0" fontId="51" fillId="4" borderId="31" xfId="0" applyNumberFormat="1" applyFont="1" applyFill="1" applyBorder="1" applyAlignment="1" applyProtection="1">
      <alignment horizontal="left" vertical="center" wrapText="1"/>
    </xf>
    <xf numFmtId="0" fontId="51" fillId="4" borderId="0" xfId="0" applyNumberFormat="1" applyFont="1" applyFill="1" applyBorder="1" applyAlignment="1" applyProtection="1">
      <alignment horizontal="left" vertical="center" wrapText="1"/>
    </xf>
    <xf numFmtId="0" fontId="56" fillId="0" borderId="0" xfId="4" applyFont="1" applyFill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horizontal="left" vertical="center" wrapText="1"/>
    </xf>
    <xf numFmtId="0" fontId="51" fillId="5" borderId="31" xfId="1" applyNumberFormat="1" applyFont="1" applyFill="1" applyBorder="1" applyAlignment="1" applyProtection="1">
      <alignment horizontal="left" vertical="center" wrapText="1"/>
    </xf>
    <xf numFmtId="0" fontId="51" fillId="5" borderId="0" xfId="1" applyNumberFormat="1" applyFont="1" applyFill="1" applyBorder="1" applyAlignment="1" applyProtection="1">
      <alignment horizontal="left" vertical="center" wrapText="1"/>
    </xf>
    <xf numFmtId="43" fontId="32" fillId="13" borderId="19" xfId="1" applyFont="1" applyFill="1" applyBorder="1" applyAlignment="1" applyProtection="1">
      <alignment horizontal="center" vertical="center" wrapText="1"/>
      <protection hidden="1"/>
    </xf>
    <xf numFmtId="177" fontId="25" fillId="0" borderId="22" xfId="1" applyNumberFormat="1" applyFont="1" applyFill="1" applyBorder="1" applyAlignment="1" applyProtection="1">
      <alignment horizontal="center" vertical="center" wrapText="1"/>
      <protection locked="0" hidden="1"/>
    </xf>
    <xf numFmtId="177" fontId="25" fillId="0" borderId="32" xfId="1" applyNumberFormat="1" applyFont="1" applyFill="1" applyBorder="1" applyAlignment="1" applyProtection="1">
      <alignment horizontal="center" vertical="center" wrapText="1"/>
      <protection locked="0" hidden="1"/>
    </xf>
    <xf numFmtId="177" fontId="25" fillId="0" borderId="23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9" xfId="0" applyFont="1" applyBorder="1" applyAlignment="1" applyProtection="1">
      <alignment horizontal="left" vertical="top" wrapText="1"/>
      <protection hidden="1"/>
    </xf>
    <xf numFmtId="0" fontId="15" fillId="0" borderId="19" xfId="0" applyFont="1" applyBorder="1" applyAlignment="1" applyProtection="1">
      <alignment horizontal="left" vertical="top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24" fillId="4" borderId="19" xfId="0" applyFont="1" applyFill="1" applyBorder="1" applyAlignment="1" applyProtection="1">
      <alignment horizontal="center"/>
      <protection locked="0"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53" fillId="11" borderId="19" xfId="0" applyFont="1" applyFill="1" applyBorder="1" applyAlignment="1" applyProtection="1">
      <alignment horizontal="center" vertical="center" wrapText="1"/>
      <protection hidden="1"/>
    </xf>
    <xf numFmtId="176" fontId="25" fillId="0" borderId="9" xfId="3" applyNumberFormat="1" applyFont="1" applyFill="1" applyBorder="1" applyAlignment="1" applyProtection="1">
      <alignment horizontal="center" vertical="center" wrapText="1"/>
      <protection hidden="1"/>
    </xf>
    <xf numFmtId="176" fontId="25" fillId="0" borderId="10" xfId="3" applyNumberFormat="1" applyFont="1" applyFill="1" applyBorder="1" applyAlignment="1" applyProtection="1">
      <alignment horizontal="center" vertical="center" wrapText="1"/>
      <protection hidden="1"/>
    </xf>
    <xf numFmtId="177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177" fontId="1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35" fillId="0" borderId="19" xfId="0" applyFont="1" applyFill="1" applyBorder="1" applyAlignment="1" applyProtection="1">
      <alignment horizontal="center" vertical="center" wrapText="1"/>
      <protection hidden="1"/>
    </xf>
    <xf numFmtId="176" fontId="16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44" fillId="8" borderId="0" xfId="0" applyFont="1" applyFill="1" applyBorder="1" applyAlignment="1" applyProtection="1">
      <alignment horizontal="center" vertical="center"/>
      <protection hidden="1"/>
    </xf>
    <xf numFmtId="178" fontId="4" fillId="0" borderId="19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19" xfId="0" applyFont="1" applyFill="1" applyBorder="1" applyAlignment="1" applyProtection="1">
      <alignment horizontal="left" vertical="top" wrapText="1"/>
      <protection hidden="1"/>
    </xf>
    <xf numFmtId="0" fontId="50" fillId="0" borderId="19" xfId="0" applyFont="1" applyFill="1" applyBorder="1" applyAlignment="1" applyProtection="1">
      <alignment horizontal="center" vertical="center"/>
      <protection hidden="1"/>
    </xf>
    <xf numFmtId="0" fontId="45" fillId="0" borderId="33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right" vertical="center" wrapText="1"/>
      <protection hidden="1"/>
    </xf>
    <xf numFmtId="177" fontId="3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Fill="1" applyBorder="1" applyAlignment="1" applyProtection="1">
      <alignment horizontal="center" vertical="center"/>
      <protection hidden="1"/>
    </xf>
    <xf numFmtId="0" fontId="48" fillId="0" borderId="19" xfId="0" applyFont="1" applyFill="1" applyBorder="1" applyAlignment="1" applyProtection="1">
      <alignment horizontal="center" vertical="center"/>
      <protection hidden="1"/>
    </xf>
    <xf numFmtId="0" fontId="45" fillId="6" borderId="19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177" fontId="32" fillId="9" borderId="19" xfId="0" applyNumberFormat="1" applyFont="1" applyFill="1" applyBorder="1" applyAlignment="1" applyProtection="1">
      <alignment horizontal="left" vertical="center" wrapText="1"/>
      <protection hidden="1"/>
    </xf>
    <xf numFmtId="0" fontId="32" fillId="9" borderId="19" xfId="0" applyFont="1" applyFill="1" applyBorder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177" fontId="33" fillId="14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14" borderId="0" xfId="0" applyFont="1" applyFill="1" applyBorder="1" applyAlignment="1" applyProtection="1">
      <alignment horizontal="center" vertical="center" wrapText="1"/>
      <protection hidden="1"/>
    </xf>
    <xf numFmtId="177" fontId="25" fillId="4" borderId="19" xfId="1" applyNumberFormat="1" applyFont="1" applyFill="1" applyBorder="1" applyAlignment="1" applyProtection="1">
      <alignment horizontal="center" vertical="center" wrapText="1"/>
      <protection locked="0" hidden="1"/>
    </xf>
    <xf numFmtId="177" fontId="23" fillId="0" borderId="19" xfId="1" applyNumberFormat="1" applyFont="1" applyFill="1" applyBorder="1" applyAlignment="1" applyProtection="1">
      <alignment horizontal="center" vertical="center" wrapText="1"/>
      <protection hidden="1"/>
    </xf>
    <xf numFmtId="177" fontId="4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19" xfId="0" applyFont="1" applyFill="1" applyBorder="1" applyAlignment="1" applyProtection="1">
      <alignment horizontal="center" vertical="center" wrapText="1"/>
      <protection hidden="1"/>
    </xf>
    <xf numFmtId="0" fontId="52" fillId="7" borderId="0" xfId="0" applyFont="1" applyFill="1" applyBorder="1" applyAlignment="1" applyProtection="1">
      <alignment horizontal="center" vertical="center" wrapText="1"/>
      <protection hidden="1"/>
    </xf>
    <xf numFmtId="0" fontId="47" fillId="12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 applyProtection="1">
      <alignment horizontal="center" vertical="center"/>
      <protection hidden="1"/>
    </xf>
    <xf numFmtId="177" fontId="37" fillId="0" borderId="19" xfId="1" applyNumberFormat="1" applyFont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 applyProtection="1">
      <alignment horizontal="left" vertical="center" wrapText="1"/>
      <protection hidden="1"/>
    </xf>
    <xf numFmtId="0" fontId="15" fillId="0" borderId="19" xfId="0" applyFont="1" applyFill="1" applyBorder="1" applyAlignment="1" applyProtection="1">
      <alignment horizontal="center" vertical="top" wrapText="1"/>
      <protection hidden="1"/>
    </xf>
    <xf numFmtId="177" fontId="24" fillId="0" borderId="19" xfId="1" applyNumberFormat="1" applyFont="1" applyFill="1" applyBorder="1" applyAlignment="1" applyProtection="1">
      <alignment horizontal="center" vertical="center" wrapText="1"/>
      <protection locked="0" hidden="1"/>
    </xf>
    <xf numFmtId="0" fontId="35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left" vertical="center" wrapText="1"/>
      <protection hidden="1"/>
    </xf>
    <xf numFmtId="177" fontId="25" fillId="4" borderId="21" xfId="1" applyNumberFormat="1" applyFont="1" applyFill="1" applyBorder="1" applyAlignment="1" applyProtection="1">
      <alignment horizontal="center" vertical="center" wrapText="1"/>
      <protection locked="0" hidden="1"/>
    </xf>
    <xf numFmtId="0" fontId="29" fillId="0" borderId="19" xfId="0" applyFont="1" applyFill="1" applyBorder="1" applyAlignment="1" applyProtection="1">
      <alignment horizontal="left" vertical="top" wrapText="1"/>
      <protection hidden="1"/>
    </xf>
    <xf numFmtId="0" fontId="15" fillId="6" borderId="19" xfId="0" applyFont="1" applyFill="1" applyBorder="1" applyAlignment="1" applyProtection="1">
      <alignment horizontal="center" vertical="center" wrapText="1"/>
    </xf>
    <xf numFmtId="0" fontId="25" fillId="4" borderId="1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25" fillId="10" borderId="19" xfId="0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177" fontId="20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25" xfId="0" applyFont="1" applyFill="1" applyBorder="1" applyAlignment="1" applyProtection="1">
      <alignment horizontal="left" vertical="center" wrapText="1"/>
      <protection hidden="1"/>
    </xf>
    <xf numFmtId="0" fontId="20" fillId="0" borderId="26" xfId="0" applyFont="1" applyFill="1" applyBorder="1" applyAlignment="1" applyProtection="1">
      <alignment horizontal="left" vertical="center" wrapText="1"/>
      <protection hidden="1"/>
    </xf>
    <xf numFmtId="176" fontId="25" fillId="0" borderId="19" xfId="3" applyNumberFormat="1" applyFont="1" applyFill="1" applyBorder="1" applyAlignment="1" applyProtection="1">
      <alignment horizontal="center" vertical="center" wrapText="1"/>
      <protection locked="0" hidden="1"/>
    </xf>
    <xf numFmtId="0" fontId="30" fillId="0" borderId="0" xfId="4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>
      <alignment horizontal="left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vertical="center" wrapText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177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hidden="1"/>
    </xf>
    <xf numFmtId="177" fontId="25" fillId="4" borderId="42" xfId="1" applyNumberFormat="1" applyFont="1" applyFill="1" applyBorder="1" applyAlignment="1" applyProtection="1">
      <alignment horizontal="center" vertical="center"/>
      <protection locked="0"/>
    </xf>
    <xf numFmtId="177" fontId="25" fillId="4" borderId="43" xfId="1" applyNumberFormat="1" applyFont="1" applyFill="1" applyBorder="1" applyAlignment="1" applyProtection="1">
      <alignment horizontal="center" vertical="center"/>
      <protection locked="0"/>
    </xf>
    <xf numFmtId="177" fontId="25" fillId="4" borderId="44" xfId="1" applyNumberFormat="1" applyFont="1" applyFill="1" applyBorder="1" applyAlignment="1" applyProtection="1">
      <alignment horizontal="center" vertical="center"/>
      <protection locked="0"/>
    </xf>
    <xf numFmtId="177" fontId="25" fillId="4" borderId="45" xfId="1" applyNumberFormat="1" applyFont="1" applyFill="1" applyBorder="1" applyAlignment="1" applyProtection="1">
      <alignment horizontal="center" vertical="center"/>
      <protection locked="0"/>
    </xf>
    <xf numFmtId="0" fontId="38" fillId="4" borderId="42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9" xfId="1" applyNumberFormat="1" applyFont="1" applyFill="1" applyBorder="1" applyAlignment="1" applyProtection="1">
      <alignment horizontal="right" vertical="center" wrapText="1"/>
      <protection hidden="1"/>
    </xf>
    <xf numFmtId="177" fontId="4" fillId="0" borderId="19" xfId="1" applyNumberFormat="1" applyFont="1" applyFill="1" applyBorder="1" applyAlignment="1" applyProtection="1">
      <alignment horizontal="right" vertical="center" wrapText="1"/>
      <protection hidden="1"/>
    </xf>
    <xf numFmtId="0" fontId="2" fillId="0" borderId="19" xfId="0" applyFont="1" applyFill="1" applyBorder="1" applyAlignment="1" applyProtection="1">
      <alignment horizontal="left" vertical="center" wrapText="1"/>
      <protection hidden="1"/>
    </xf>
    <xf numFmtId="177" fontId="58" fillId="5" borderId="8" xfId="1" applyNumberFormat="1" applyFont="1" applyFill="1" applyBorder="1" applyAlignment="1" applyProtection="1">
      <alignment horizontal="center" vertical="center" wrapText="1"/>
    </xf>
    <xf numFmtId="177" fontId="58" fillId="5" borderId="9" xfId="1" applyNumberFormat="1" applyFont="1" applyFill="1" applyBorder="1" applyAlignment="1" applyProtection="1">
      <alignment horizontal="center" vertical="center" wrapText="1"/>
    </xf>
    <xf numFmtId="177" fontId="58" fillId="5" borderId="10" xfId="1" applyNumberFormat="1" applyFont="1" applyFill="1" applyBorder="1" applyAlignment="1" applyProtection="1">
      <alignment horizontal="center" vertical="center" wrapText="1"/>
    </xf>
    <xf numFmtId="0" fontId="25" fillId="5" borderId="1" xfId="0" applyNumberFormat="1" applyFont="1" applyFill="1" applyBorder="1" applyAlignment="1" applyProtection="1">
      <alignment vertical="center" wrapText="1"/>
    </xf>
    <xf numFmtId="0" fontId="3" fillId="0" borderId="31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59" fillId="0" borderId="22" xfId="4" applyFont="1" applyFill="1" applyBorder="1" applyAlignment="1" applyProtection="1">
      <alignment horizontal="center" vertical="center" wrapText="1"/>
      <protection hidden="1"/>
    </xf>
    <xf numFmtId="0" fontId="60" fillId="0" borderId="28" xfId="0" applyFont="1" applyFill="1" applyBorder="1" applyAlignment="1" applyProtection="1">
      <alignment horizontal="center" vertical="center"/>
      <protection hidden="1"/>
    </xf>
  </cellXfs>
  <cellStyles count="5">
    <cellStyle name="一般" xfId="0" builtinId="0"/>
    <cellStyle name="一般 5" xfId="2"/>
    <cellStyle name="千分位" xfId="1" builtinId="3"/>
    <cellStyle name="貨幣" xfId="3" builtinId="4"/>
    <cellStyle name="超連結" xfId="4" builtinId="8"/>
  </cellStyles>
  <dxfs count="1">
    <dxf>
      <font>
        <color rgb="FF0000FF"/>
      </font>
      <fill>
        <patternFill>
          <fgColor rgb="FF0000FF"/>
          <bgColor rgb="FFFFFF00"/>
        </patternFill>
      </fill>
    </dxf>
  </dxfs>
  <tableStyles count="0" defaultTableStyle="TableStyleMedium2" defaultPivotStyle="PivotStyleMedium9"/>
  <colors>
    <mruColors>
      <color rgb="FF0000FF"/>
      <color rgb="FFF1FDD1"/>
      <color rgb="FFFF0000"/>
      <color rgb="FFF6F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209408</xdr:colOff>
      <xdr:row>22</xdr:row>
      <xdr:rowOff>126512</xdr:rowOff>
    </xdr:from>
    <xdr:to>
      <xdr:col>1</xdr:col>
      <xdr:colOff>7138348</xdr:colOff>
      <xdr:row>66</xdr:row>
      <xdr:rowOff>31843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-444149" y="5711374"/>
          <a:ext cx="8993391" cy="6928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ldc.ttu.edu.tw/var/file/3/1003/img/376781741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turule.ttu.edu.tw/rulelist/showcontent.php?rid=305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85" zoomScaleNormal="85" workbookViewId="0">
      <selection activeCell="E11" sqref="E11"/>
    </sheetView>
  </sheetViews>
  <sheetFormatPr defaultColWidth="17.69921875" defaultRowHeight="25.95"/>
  <cols>
    <col min="1" max="16384" width="17.69921875" style="98"/>
  </cols>
  <sheetData>
    <row r="1" spans="1:9" ht="53" customHeight="1">
      <c r="A1" s="115" t="s">
        <v>203</v>
      </c>
      <c r="B1" s="115"/>
      <c r="C1" s="115"/>
      <c r="D1" s="115"/>
      <c r="E1" s="115"/>
      <c r="F1" s="115"/>
      <c r="G1" s="115"/>
      <c r="H1" s="115"/>
    </row>
    <row r="2" spans="1:9" ht="41.5" customHeight="1">
      <c r="A2" s="119" t="s">
        <v>207</v>
      </c>
      <c r="B2" s="119"/>
      <c r="C2" s="119"/>
      <c r="D2" s="119"/>
      <c r="E2" s="119"/>
      <c r="F2" s="119"/>
      <c r="G2" s="119"/>
      <c r="H2" s="119"/>
    </row>
    <row r="3" spans="1:9" ht="41.5" customHeight="1">
      <c r="A3" s="118" t="s">
        <v>269</v>
      </c>
      <c r="B3" s="118"/>
      <c r="C3" s="118"/>
      <c r="D3" s="118"/>
      <c r="E3" s="118"/>
      <c r="F3" s="118"/>
      <c r="G3" s="118"/>
      <c r="H3" s="118"/>
    </row>
    <row r="4" spans="1:9" ht="41.5" customHeight="1">
      <c r="A4" s="119" t="s">
        <v>209</v>
      </c>
      <c r="B4" s="119"/>
      <c r="C4" s="119"/>
      <c r="D4" s="119"/>
      <c r="E4" s="119"/>
      <c r="F4" s="119"/>
      <c r="G4" s="119"/>
      <c r="H4" s="119"/>
    </row>
    <row r="5" spans="1:9" ht="41.5" customHeight="1">
      <c r="A5" s="116" t="s">
        <v>208</v>
      </c>
      <c r="B5" s="117"/>
      <c r="C5" s="117"/>
      <c r="D5" s="117"/>
      <c r="E5" s="117"/>
      <c r="F5" s="117"/>
      <c r="G5" s="117"/>
      <c r="H5" s="117"/>
    </row>
    <row r="6" spans="1:9" ht="41.5" customHeight="1">
      <c r="A6" s="120" t="s">
        <v>205</v>
      </c>
      <c r="B6" s="121"/>
      <c r="C6" s="121"/>
      <c r="D6" s="121"/>
      <c r="E6" s="121"/>
      <c r="F6" s="121"/>
      <c r="G6" s="121"/>
      <c r="H6" s="121"/>
    </row>
    <row r="7" spans="1:9" ht="41.5" customHeight="1">
      <c r="A7" s="118" t="s">
        <v>206</v>
      </c>
      <c r="B7" s="118"/>
      <c r="C7" s="118"/>
      <c r="D7" s="118"/>
      <c r="E7" s="118"/>
      <c r="F7" s="118"/>
      <c r="G7" s="118"/>
      <c r="H7" s="118"/>
      <c r="I7" s="105"/>
    </row>
  </sheetData>
  <protectedRanges>
    <protectedRange sqref="A5" name="範圍1"/>
  </protectedRanges>
  <mergeCells count="7">
    <mergeCell ref="A1:H1"/>
    <mergeCell ref="A5:H5"/>
    <mergeCell ref="A7:H7"/>
    <mergeCell ref="A3:H3"/>
    <mergeCell ref="A2:H2"/>
    <mergeCell ref="A4:H4"/>
    <mergeCell ref="A6:H6"/>
  </mergeCells>
  <phoneticPr fontId="5" type="noConversion"/>
  <hyperlinks>
    <hyperlink ref="A7:H7" location="經費試算表!A1" display="前往經費試算表"/>
    <hyperlink ref="A3:H3" r:id="rId1" display="112年度教育部教學實踐研究計畫經費編列指引"/>
  </hyperlink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D23A206-3DCF-41CC-8DF4-EF990AB5C790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</xm:f>
              </x14:cfvo>
              <x14:cfIcon iconSet="NoIcons" iconId="0"/>
              <x14:cfIcon iconSet="NoIcons" iconId="0"/>
              <x14:cfIcon iconSet="3Symbols" iconId="0"/>
            </x14:iconSet>
          </x14:cfRule>
          <xm:sqref>A5</xm:sqref>
        </x14:conditionalFormatting>
        <x14:conditionalFormatting xmlns:xm="http://schemas.microsoft.com/office/excel/2006/main">
          <x14:cfRule type="iconSet" priority="1" id="{9EFBFD6A-F2AD-480B-A9A7-5A6E3E234CDB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A6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15" zoomScaleNormal="115" workbookViewId="0">
      <selection activeCell="C10" sqref="C10:H10"/>
    </sheetView>
  </sheetViews>
  <sheetFormatPr defaultRowHeight="16.149999999999999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4" zoomScale="160" zoomScaleNormal="160" workbookViewId="0">
      <selection activeCell="D10" sqref="D10"/>
    </sheetView>
  </sheetViews>
  <sheetFormatPr defaultColWidth="8.69921875" defaultRowHeight="16.149999999999999"/>
  <cols>
    <col min="1" max="1" width="8.69921875" style="1" bestFit="1" customWidth="1"/>
    <col min="2" max="2" width="2.59765625" style="1" bestFit="1" customWidth="1"/>
    <col min="3" max="3" width="8.69921875" style="1" bestFit="1" customWidth="1"/>
    <col min="4" max="4" width="16.19921875" style="1" bestFit="1" customWidth="1"/>
    <col min="5" max="5" width="13.3984375" style="1" bestFit="1" customWidth="1"/>
    <col min="6" max="6" width="3.09765625" style="1" customWidth="1"/>
    <col min="7" max="7" width="12.09765625" style="1" bestFit="1" customWidth="1"/>
    <col min="8" max="8" width="10" style="1" customWidth="1"/>
    <col min="9" max="11" width="8.69921875" style="1"/>
    <col min="12" max="12" width="23.69921875" style="1" bestFit="1" customWidth="1"/>
    <col min="13" max="13" width="5.69921875" style="1" bestFit="1" customWidth="1"/>
    <col min="14" max="14" width="14.59765625" style="1" bestFit="1" customWidth="1"/>
    <col min="15" max="15" width="14.69921875" style="1" bestFit="1" customWidth="1"/>
    <col min="16" max="16384" width="8.69921875" style="1"/>
  </cols>
  <sheetData>
    <row r="1" spans="1:14" ht="20.9" customHeight="1">
      <c r="A1" s="192" t="s">
        <v>5</v>
      </c>
      <c r="B1" s="192"/>
      <c r="C1" s="192"/>
      <c r="D1" s="192"/>
      <c r="E1" s="192"/>
    </row>
    <row r="2" spans="1:14" ht="20.9" customHeight="1">
      <c r="A2" s="192"/>
      <c r="B2" s="192"/>
      <c r="C2" s="192"/>
      <c r="D2" s="192"/>
      <c r="E2" s="192"/>
    </row>
    <row r="3" spans="1:14" ht="20.9" customHeight="1">
      <c r="A3" s="193"/>
      <c r="B3" s="193"/>
      <c r="C3" s="193"/>
      <c r="D3" s="193"/>
      <c r="E3" s="193"/>
    </row>
    <row r="4" spans="1:14" s="3" customFormat="1" ht="32.85">
      <c r="A4" s="194" t="s">
        <v>6</v>
      </c>
      <c r="B4" s="195"/>
      <c r="C4" s="196"/>
      <c r="D4" s="2" t="s">
        <v>7</v>
      </c>
      <c r="E4" s="2" t="s">
        <v>8</v>
      </c>
      <c r="I4" s="4"/>
      <c r="J4" s="4"/>
      <c r="K4" s="4"/>
      <c r="L4" s="4"/>
      <c r="M4" s="4"/>
      <c r="N4" s="1"/>
    </row>
    <row r="5" spans="1:14">
      <c r="A5" s="5">
        <v>1</v>
      </c>
      <c r="B5" s="5" t="s">
        <v>9</v>
      </c>
      <c r="C5" s="5">
        <v>1500</v>
      </c>
      <c r="D5" s="6">
        <v>966</v>
      </c>
      <c r="E5" s="6">
        <v>90</v>
      </c>
    </row>
    <row r="6" spans="1:14">
      <c r="A6" s="5">
        <v>1501</v>
      </c>
      <c r="B6" s="5" t="s">
        <v>10</v>
      </c>
      <c r="C6" s="5">
        <v>3000</v>
      </c>
      <c r="D6" s="6">
        <v>966</v>
      </c>
      <c r="E6" s="6">
        <v>180</v>
      </c>
    </row>
    <row r="7" spans="1:14">
      <c r="A7" s="5">
        <v>3001</v>
      </c>
      <c r="B7" s="5" t="s">
        <v>9</v>
      </c>
      <c r="C7" s="5">
        <v>4500</v>
      </c>
      <c r="D7" s="6">
        <v>966</v>
      </c>
      <c r="E7" s="6">
        <v>270</v>
      </c>
    </row>
    <row r="8" spans="1:14">
      <c r="A8" s="5">
        <v>4501</v>
      </c>
      <c r="B8" s="5" t="s">
        <v>9</v>
      </c>
      <c r="C8" s="5">
        <v>6000</v>
      </c>
      <c r="D8" s="6">
        <v>966</v>
      </c>
      <c r="E8" s="6">
        <v>360</v>
      </c>
    </row>
    <row r="9" spans="1:14">
      <c r="A9" s="5">
        <v>6001</v>
      </c>
      <c r="B9" s="5" t="s">
        <v>11</v>
      </c>
      <c r="C9" s="5">
        <v>7500</v>
      </c>
      <c r="D9" s="6">
        <v>966</v>
      </c>
      <c r="E9" s="6">
        <v>450</v>
      </c>
    </row>
    <row r="10" spans="1:14">
      <c r="A10" s="5">
        <v>7501</v>
      </c>
      <c r="B10" s="5" t="s">
        <v>9</v>
      </c>
      <c r="C10" s="5">
        <v>8700</v>
      </c>
      <c r="D10" s="6">
        <v>966</v>
      </c>
      <c r="E10" s="6">
        <v>522</v>
      </c>
    </row>
    <row r="11" spans="1:14">
      <c r="A11" s="5">
        <v>8701</v>
      </c>
      <c r="B11" s="5" t="s">
        <v>12</v>
      </c>
      <c r="C11" s="5">
        <v>9900</v>
      </c>
      <c r="D11" s="6">
        <v>966</v>
      </c>
      <c r="E11" s="6">
        <v>594</v>
      </c>
    </row>
    <row r="12" spans="1:14">
      <c r="A12" s="5">
        <v>9901</v>
      </c>
      <c r="B12" s="5" t="s">
        <v>9</v>
      </c>
      <c r="C12" s="5">
        <v>11100</v>
      </c>
      <c r="D12" s="6">
        <v>966</v>
      </c>
      <c r="E12" s="6">
        <v>666</v>
      </c>
    </row>
    <row r="13" spans="1:14">
      <c r="A13" s="5">
        <v>11101</v>
      </c>
      <c r="B13" s="5" t="s">
        <v>13</v>
      </c>
      <c r="C13" s="5">
        <v>12540</v>
      </c>
      <c r="D13" s="107">
        <v>1088</v>
      </c>
      <c r="E13" s="6">
        <v>752</v>
      </c>
    </row>
    <row r="14" spans="1:14">
      <c r="A14" s="5">
        <v>12541</v>
      </c>
      <c r="B14" s="5" t="s">
        <v>12</v>
      </c>
      <c r="C14" s="5">
        <v>13500</v>
      </c>
      <c r="D14" s="107">
        <v>1169</v>
      </c>
      <c r="E14" s="6">
        <v>810</v>
      </c>
    </row>
    <row r="15" spans="1:14">
      <c r="A15" s="5">
        <v>13501</v>
      </c>
      <c r="B15" s="5" t="s">
        <v>9</v>
      </c>
      <c r="C15" s="5">
        <v>15840</v>
      </c>
      <c r="D15" s="107">
        <v>1365</v>
      </c>
      <c r="E15" s="6">
        <v>950</v>
      </c>
    </row>
  </sheetData>
  <sheetProtection algorithmName="SHA-512" hashValue="nH/3DY/wOpKkl4sAIfLoB1CuvBhWwOH80uyrZpKfL8MJQX79EelbVx4kmTLvxeJsX1q4dIbF9Omv7vngCXj2Xg==" saltValue="BzFeE2nr83g4GiZWF1ltMA==" spinCount="100000" sheet="1" objects="1" scenarios="1"/>
  <autoFilter ref="A4:E4">
    <filterColumn colId="1" showButton="0"/>
  </autoFilter>
  <mergeCells count="2">
    <mergeCell ref="A1:E3"/>
    <mergeCell ref="A4:C4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opLeftCell="A40" zoomScale="85" zoomScaleNormal="85" zoomScaleSheetLayoutView="70" zoomScalePageLayoutView="70" workbookViewId="0">
      <selection activeCell="D47" sqref="D47"/>
    </sheetView>
  </sheetViews>
  <sheetFormatPr defaultColWidth="45.3984375" defaultRowHeight="17.850000000000001"/>
  <cols>
    <col min="1" max="1" width="26.5" style="32" customWidth="1"/>
    <col min="2" max="2" width="27.8984375" style="32" customWidth="1"/>
    <col min="3" max="3" width="12.796875" style="32" customWidth="1"/>
    <col min="4" max="4" width="13" style="32" customWidth="1"/>
    <col min="5" max="5" width="12.796875" style="33" customWidth="1"/>
    <col min="6" max="6" width="12.796875" style="31" customWidth="1"/>
    <col min="7" max="7" width="16.09765625" style="53" bestFit="1" customWidth="1"/>
    <col min="8" max="8" width="36.796875" style="54" customWidth="1"/>
    <col min="9" max="9" width="10.3984375" style="32" customWidth="1"/>
    <col min="10" max="14" width="8.69921875" style="32" customWidth="1"/>
    <col min="15" max="16384" width="45.3984375" style="32"/>
  </cols>
  <sheetData>
    <row r="1" spans="1:14" ht="53.6" customHeight="1">
      <c r="A1" s="142" t="s">
        <v>155</v>
      </c>
      <c r="B1" s="142"/>
      <c r="C1" s="142"/>
      <c r="D1" s="142"/>
      <c r="E1" s="142"/>
      <c r="F1" s="142"/>
      <c r="G1" s="142"/>
      <c r="H1" s="142"/>
    </row>
    <row r="2" spans="1:14" s="47" customFormat="1" ht="36.299999999999997" customHeight="1">
      <c r="A2" s="222" t="s">
        <v>270</v>
      </c>
      <c r="B2" s="222"/>
      <c r="C2" s="222"/>
      <c r="D2" s="222"/>
      <c r="E2" s="222"/>
      <c r="F2" s="222"/>
      <c r="G2" s="222"/>
      <c r="H2" s="222"/>
    </row>
    <row r="3" spans="1:14" s="47" customFormat="1" ht="34.6" customHeight="1">
      <c r="A3" s="99"/>
      <c r="B3" s="99" t="s">
        <v>160</v>
      </c>
      <c r="C3" s="151" t="s">
        <v>168</v>
      </c>
      <c r="D3" s="151"/>
      <c r="E3" s="151"/>
      <c r="F3" s="151"/>
      <c r="G3" s="151"/>
      <c r="H3" s="151"/>
    </row>
    <row r="4" spans="1:14" s="47" customFormat="1" ht="36.299999999999997" customHeight="1">
      <c r="A4" s="102" t="s">
        <v>53</v>
      </c>
      <c r="B4" s="97">
        <f>B9</f>
        <v>0</v>
      </c>
      <c r="C4" s="150" t="str">
        <f>IF(B4&gt;B7*0.6,"人事費總額超出總計畫金額之60%，請修正","")</f>
        <v/>
      </c>
      <c r="D4" s="150"/>
      <c r="E4" s="150"/>
      <c r="F4" s="150"/>
      <c r="G4" s="150"/>
      <c r="H4" s="150"/>
    </row>
    <row r="5" spans="1:14" s="47" customFormat="1" ht="36.299999999999997" customHeight="1">
      <c r="A5" s="103" t="s">
        <v>54</v>
      </c>
      <c r="B5" s="97">
        <f>B19</f>
        <v>0</v>
      </c>
      <c r="C5" s="149"/>
      <c r="D5" s="149"/>
      <c r="E5" s="149"/>
      <c r="F5" s="149"/>
      <c r="G5" s="149"/>
      <c r="H5" s="149"/>
    </row>
    <row r="6" spans="1:14" s="47" customFormat="1" ht="36.299999999999997" customHeight="1">
      <c r="A6" s="104" t="s">
        <v>55</v>
      </c>
      <c r="B6" s="97">
        <f>B72</f>
        <v>0</v>
      </c>
      <c r="C6" s="145" t="str">
        <f>IF(B6&gt;0,"教育部已多次建議設備採購需求應優先以深耕計畫資本門經費辦理，如仍有需要，請事先向學校確認是否已有採購同等設備，並於執行時依本校資本門採購相關辦法辦理。","")</f>
        <v/>
      </c>
      <c r="D6" s="145"/>
      <c r="E6" s="145"/>
      <c r="F6" s="145"/>
      <c r="G6" s="145"/>
      <c r="H6" s="145"/>
    </row>
    <row r="7" spans="1:14" s="48" customFormat="1" ht="34.6" customHeight="1" thickBot="1">
      <c r="A7" s="100" t="s">
        <v>145</v>
      </c>
      <c r="B7" s="101">
        <f>B6+B5+B4</f>
        <v>0</v>
      </c>
      <c r="C7" s="146" t="str">
        <f>IF(B7&gt;500000,"總額超出申請上限五十萬，請修正","")</f>
        <v/>
      </c>
      <c r="D7" s="146"/>
      <c r="E7" s="146"/>
      <c r="F7" s="146"/>
      <c r="G7" s="146"/>
      <c r="H7" s="146"/>
    </row>
    <row r="8" spans="1:14" s="48" customFormat="1" ht="31.7" thickTop="1">
      <c r="A8" s="49"/>
      <c r="B8" s="40"/>
      <c r="C8" s="39"/>
      <c r="D8" s="39"/>
      <c r="E8" s="39"/>
      <c r="F8" s="39"/>
      <c r="G8" s="39"/>
      <c r="H8" s="39"/>
    </row>
    <row r="9" spans="1:14" s="31" customFormat="1" ht="38.200000000000003" customHeight="1">
      <c r="A9" s="88" t="s">
        <v>137</v>
      </c>
      <c r="B9" s="153">
        <f>G12+G15</f>
        <v>0</v>
      </c>
      <c r="C9" s="154"/>
      <c r="D9" s="154"/>
      <c r="E9" s="154"/>
      <c r="F9" s="154"/>
      <c r="G9" s="154"/>
      <c r="H9" s="154"/>
    </row>
    <row r="10" spans="1:14" s="31" customFormat="1" ht="35.75" customHeight="1">
      <c r="A10" s="163" t="s">
        <v>156</v>
      </c>
      <c r="B10" s="163"/>
      <c r="C10" s="163"/>
      <c r="D10" s="163"/>
      <c r="E10" s="163"/>
      <c r="F10" s="163"/>
      <c r="G10" s="163"/>
      <c r="H10" s="163"/>
    </row>
    <row r="11" spans="1:14" s="31" customFormat="1" ht="42.65" customHeight="1">
      <c r="A11" s="55" t="s">
        <v>158</v>
      </c>
      <c r="B11" s="55" t="s">
        <v>171</v>
      </c>
      <c r="C11" s="55" t="s">
        <v>86</v>
      </c>
      <c r="D11" s="55" t="s">
        <v>164</v>
      </c>
      <c r="E11" s="140" t="s">
        <v>161</v>
      </c>
      <c r="F11" s="140"/>
      <c r="G11" s="55" t="s">
        <v>87</v>
      </c>
      <c r="H11" s="89" t="s">
        <v>89</v>
      </c>
    </row>
    <row r="12" spans="1:14" s="31" customFormat="1" ht="42.05" customHeight="1">
      <c r="A12" s="89" t="s">
        <v>201</v>
      </c>
      <c r="B12" s="89" t="s">
        <v>165</v>
      </c>
      <c r="C12" s="90">
        <v>0</v>
      </c>
      <c r="D12" s="91">
        <v>8000</v>
      </c>
      <c r="E12" s="147">
        <f>ROUND(D12*0.0211,0)</f>
        <v>169</v>
      </c>
      <c r="F12" s="147"/>
      <c r="G12" s="92">
        <f>C12*(D12+E12)</f>
        <v>0</v>
      </c>
      <c r="H12" s="93" t="str">
        <f>"主持人費每月"&amp;D12&amp;"元，補充保費"&amp;E12&amp;"元，計"&amp;C12&amp;"個月。"</f>
        <v>主持人費每月8000元，補充保費169元，計0個月。</v>
      </c>
    </row>
    <row r="13" spans="1:14" s="31" customFormat="1" ht="32.25" customHeight="1">
      <c r="A13" s="163" t="s">
        <v>157</v>
      </c>
      <c r="B13" s="163"/>
      <c r="C13" s="163"/>
      <c r="D13" s="163"/>
      <c r="E13" s="163"/>
      <c r="F13" s="163"/>
      <c r="G13" s="163"/>
      <c r="H13" s="163"/>
    </row>
    <row r="14" spans="1:14" s="31" customFormat="1" ht="41.5" customHeight="1">
      <c r="A14" s="55" t="s">
        <v>159</v>
      </c>
      <c r="B14" s="55" t="s">
        <v>171</v>
      </c>
      <c r="C14" s="89" t="s">
        <v>22</v>
      </c>
      <c r="D14" s="89" t="s">
        <v>164</v>
      </c>
      <c r="E14" s="152" t="s">
        <v>163</v>
      </c>
      <c r="F14" s="152"/>
      <c r="G14" s="89" t="s">
        <v>87</v>
      </c>
      <c r="H14" s="89" t="s">
        <v>89</v>
      </c>
    </row>
    <row r="15" spans="1:14" ht="42.05" customHeight="1">
      <c r="A15" s="152" t="s">
        <v>202</v>
      </c>
      <c r="B15" s="89" t="s">
        <v>166</v>
      </c>
      <c r="C15" s="94">
        <v>0</v>
      </c>
      <c r="D15" s="94">
        <v>4000</v>
      </c>
      <c r="E15" s="148">
        <f>E17+D17+C17</f>
        <v>1320</v>
      </c>
      <c r="F15" s="148"/>
      <c r="G15" s="148">
        <f>(D15+E15)*C15</f>
        <v>0</v>
      </c>
      <c r="H15" s="166" t="str">
        <f>"聘用「"&amp;B17&amp;"」身分兼任助理費，每月薪資"&amp;D15&amp;"元、"&amp;"雇主負擔勞保退及補充保費"&amp;E15&amp;"元，聘期"&amp;C15&amp;"個月。"</f>
        <v>聘用「請選擇」身分兼任助理費，每月薪資4000元、雇主負擔勞保退及補充保費1320元，聘期0個月。</v>
      </c>
      <c r="K15" s="31"/>
      <c r="L15" s="31"/>
      <c r="M15" s="31"/>
      <c r="N15" s="31"/>
    </row>
    <row r="16" spans="1:14" ht="42.65" customHeight="1">
      <c r="A16" s="152"/>
      <c r="B16" s="55" t="s">
        <v>91</v>
      </c>
      <c r="C16" s="89" t="s">
        <v>1</v>
      </c>
      <c r="D16" s="89" t="s">
        <v>2</v>
      </c>
      <c r="E16" s="164" t="s">
        <v>162</v>
      </c>
      <c r="F16" s="164"/>
      <c r="G16" s="148"/>
      <c r="H16" s="166"/>
    </row>
    <row r="17" spans="1:8" ht="42.65" customHeight="1">
      <c r="A17" s="152"/>
      <c r="B17" s="95" t="s">
        <v>210</v>
      </c>
      <c r="C17" s="96">
        <f>IF(B17="教職員(公保)","0",IF(D15=0,0,LOOKUP(D15,級距表!A5:A15,級距表!D5:D15)))</f>
        <v>966</v>
      </c>
      <c r="D17" s="96">
        <f>IF(B17="教職員(公保)","0",IF(D15=0,0,LOOKUP(D15,級距表!A5:A15,級距表!E5:E15)))</f>
        <v>270</v>
      </c>
      <c r="E17" s="165">
        <f>ROUND(D15*0.0211,0)</f>
        <v>84</v>
      </c>
      <c r="F17" s="165"/>
      <c r="G17" s="148"/>
      <c r="H17" s="166"/>
    </row>
    <row r="18" spans="1:8" ht="42.65" customHeight="1">
      <c r="A18" s="155"/>
      <c r="B18" s="155"/>
      <c r="C18" s="155"/>
      <c r="D18" s="155"/>
      <c r="E18" s="155"/>
      <c r="F18" s="155"/>
      <c r="G18" s="155"/>
      <c r="H18" s="155"/>
    </row>
    <row r="19" spans="1:8" s="51" customFormat="1" ht="38.200000000000003" customHeight="1">
      <c r="A19" s="50" t="s">
        <v>90</v>
      </c>
      <c r="B19" s="156">
        <f>G21+G22+G23+G24+G25+G26+G27+G28+G29+G35+G38+G40+G42+G46+G48+G51+G53+G54+G55+G56+G57+G61+G62+G63+G64+G65+G66+G67+G68+G69+G70+G32</f>
        <v>0</v>
      </c>
      <c r="C19" s="157"/>
      <c r="D19" s="157"/>
      <c r="E19" s="157"/>
      <c r="F19" s="157"/>
      <c r="G19" s="157"/>
      <c r="H19" s="157"/>
    </row>
    <row r="20" spans="1:8" ht="33.450000000000003" customHeight="1">
      <c r="A20" s="41" t="s">
        <v>72</v>
      </c>
      <c r="B20" s="41" t="s">
        <v>171</v>
      </c>
      <c r="C20" s="162" t="s">
        <v>98</v>
      </c>
      <c r="D20" s="162"/>
      <c r="E20" s="52" t="s">
        <v>99</v>
      </c>
      <c r="F20" s="41" t="s">
        <v>100</v>
      </c>
      <c r="G20" s="41" t="s">
        <v>104</v>
      </c>
      <c r="H20" s="41" t="s">
        <v>89</v>
      </c>
    </row>
    <row r="21" spans="1:8" ht="31.7" customHeight="1">
      <c r="A21" s="55" t="s">
        <v>50</v>
      </c>
      <c r="B21" s="139" t="s">
        <v>42</v>
      </c>
      <c r="C21" s="56">
        <v>2500</v>
      </c>
      <c r="D21" s="57" t="s">
        <v>101</v>
      </c>
      <c r="E21" s="58">
        <v>0</v>
      </c>
      <c r="F21" s="59" t="s">
        <v>35</v>
      </c>
      <c r="G21" s="60">
        <f>C21*E21</f>
        <v>0</v>
      </c>
      <c r="H21" s="61"/>
    </row>
    <row r="22" spans="1:8" ht="31.7" customHeight="1">
      <c r="A22" s="55" t="s">
        <v>142</v>
      </c>
      <c r="B22" s="139"/>
      <c r="C22" s="56">
        <v>2500</v>
      </c>
      <c r="D22" s="57" t="s">
        <v>101</v>
      </c>
      <c r="E22" s="58">
        <v>0</v>
      </c>
      <c r="F22" s="59" t="s">
        <v>35</v>
      </c>
      <c r="G22" s="60">
        <f t="shared" ref="G22:G28" si="0">C22*E22</f>
        <v>0</v>
      </c>
      <c r="H22" s="61"/>
    </row>
    <row r="23" spans="1:8" ht="31.7" customHeight="1">
      <c r="A23" s="55" t="s">
        <v>143</v>
      </c>
      <c r="B23" s="139"/>
      <c r="C23" s="56">
        <v>2500</v>
      </c>
      <c r="D23" s="57" t="s">
        <v>101</v>
      </c>
      <c r="E23" s="58">
        <v>0</v>
      </c>
      <c r="F23" s="59" t="s">
        <v>35</v>
      </c>
      <c r="G23" s="60">
        <f t="shared" si="0"/>
        <v>0</v>
      </c>
      <c r="H23" s="61"/>
    </row>
    <row r="24" spans="1:8" ht="31.7" customHeight="1">
      <c r="A24" s="55" t="s">
        <v>144</v>
      </c>
      <c r="B24" s="139"/>
      <c r="C24" s="56">
        <v>2500</v>
      </c>
      <c r="D24" s="57" t="s">
        <v>101</v>
      </c>
      <c r="E24" s="58">
        <v>0</v>
      </c>
      <c r="F24" s="59" t="s">
        <v>35</v>
      </c>
      <c r="G24" s="60">
        <f t="shared" si="0"/>
        <v>0</v>
      </c>
      <c r="H24" s="61"/>
    </row>
    <row r="25" spans="1:8" ht="31.7" customHeight="1">
      <c r="A25" s="55" t="s">
        <v>96</v>
      </c>
      <c r="B25" s="139"/>
      <c r="C25" s="56">
        <v>2500</v>
      </c>
      <c r="D25" s="57" t="s">
        <v>101</v>
      </c>
      <c r="E25" s="58">
        <v>0</v>
      </c>
      <c r="F25" s="59" t="s">
        <v>35</v>
      </c>
      <c r="G25" s="60">
        <f t="shared" si="0"/>
        <v>0</v>
      </c>
      <c r="H25" s="61"/>
    </row>
    <row r="26" spans="1:8" ht="31.7" customHeight="1">
      <c r="A26" s="55" t="s">
        <v>97</v>
      </c>
      <c r="B26" s="139"/>
      <c r="C26" s="56">
        <v>2500</v>
      </c>
      <c r="D26" s="57" t="s">
        <v>101</v>
      </c>
      <c r="E26" s="58">
        <v>0</v>
      </c>
      <c r="F26" s="59" t="s">
        <v>35</v>
      </c>
      <c r="G26" s="60">
        <f t="shared" si="0"/>
        <v>0</v>
      </c>
      <c r="H26" s="61"/>
    </row>
    <row r="27" spans="1:8" ht="92.75" customHeight="1">
      <c r="A27" s="55" t="s">
        <v>102</v>
      </c>
      <c r="B27" s="57" t="s">
        <v>172</v>
      </c>
      <c r="C27" s="56">
        <v>4000</v>
      </c>
      <c r="D27" s="57" t="s">
        <v>103</v>
      </c>
      <c r="E27" s="58">
        <v>0</v>
      </c>
      <c r="F27" s="59" t="s">
        <v>35</v>
      </c>
      <c r="G27" s="60">
        <f t="shared" si="0"/>
        <v>0</v>
      </c>
      <c r="H27" s="62" t="s">
        <v>192</v>
      </c>
    </row>
    <row r="28" spans="1:8" ht="101.95" customHeight="1" thickBot="1">
      <c r="A28" s="55" t="s">
        <v>106</v>
      </c>
      <c r="B28" s="57" t="s">
        <v>169</v>
      </c>
      <c r="C28" s="56">
        <v>4000</v>
      </c>
      <c r="D28" s="57" t="s">
        <v>101</v>
      </c>
      <c r="E28" s="58">
        <v>0</v>
      </c>
      <c r="F28" s="59" t="s">
        <v>35</v>
      </c>
      <c r="G28" s="60">
        <f t="shared" si="0"/>
        <v>0</v>
      </c>
      <c r="H28" s="62" t="s">
        <v>193</v>
      </c>
    </row>
    <row r="29" spans="1:8" ht="30.7" customHeight="1">
      <c r="A29" s="197" t="s">
        <v>214</v>
      </c>
      <c r="B29" s="198" t="s">
        <v>215</v>
      </c>
      <c r="C29" s="199" t="s">
        <v>216</v>
      </c>
      <c r="D29" s="200"/>
      <c r="E29" s="201"/>
      <c r="F29" s="202" t="s">
        <v>217</v>
      </c>
      <c r="G29" s="212">
        <f>IFERROR(C31*F31,0)</f>
        <v>0</v>
      </c>
      <c r="H29" s="144" t="str">
        <f>"擬邀請"&amp;B31&amp;"協助"&amp;C31&amp;"，編列「"&amp;IF(LEFT(B30,2)="審查","審查",B30)&amp;"」報酬，以"&amp;E30&amp;C30&amp;"元計算。"</f>
        <v>擬邀請(請選擇)給付對象協助請輸入單價，編列「請選擇基準類別」報酬，以對應計價方式元計算。</v>
      </c>
    </row>
    <row r="30" spans="1:8" ht="30.7" customHeight="1">
      <c r="A30" s="203"/>
      <c r="B30" s="204" t="s">
        <v>211</v>
      </c>
      <c r="C30" s="215" t="str">
        <f>VLOOKUP(B30,稿費!A1:C14,2,FALSE)</f>
        <v>對應計價方式</v>
      </c>
      <c r="D30" s="216"/>
      <c r="E30" s="217"/>
      <c r="F30" s="218" t="str">
        <f>VLOOKUP(B30,稿費!A1:C14,3,FALSE)</f>
        <v>對應計算單位</v>
      </c>
      <c r="G30" s="213"/>
      <c r="H30" s="144"/>
    </row>
    <row r="31" spans="1:8" ht="30.7" customHeight="1" thickBot="1">
      <c r="A31" s="205"/>
      <c r="B31" s="206" t="s">
        <v>264</v>
      </c>
      <c r="C31" s="207" t="s">
        <v>218</v>
      </c>
      <c r="D31" s="208"/>
      <c r="E31" s="209"/>
      <c r="F31" s="210" t="s">
        <v>219</v>
      </c>
      <c r="G31" s="213"/>
      <c r="H31" s="144"/>
    </row>
    <row r="32" spans="1:8" ht="30.7" customHeight="1">
      <c r="A32" s="197" t="s">
        <v>220</v>
      </c>
      <c r="B32" s="211" t="s">
        <v>221</v>
      </c>
      <c r="C32" s="199" t="s">
        <v>147</v>
      </c>
      <c r="D32" s="200"/>
      <c r="E32" s="201"/>
      <c r="F32" s="202" t="s">
        <v>222</v>
      </c>
      <c r="G32" s="212">
        <f>IFERROR(C34*F34,0)</f>
        <v>0</v>
      </c>
      <c r="H32" s="144" t="str">
        <f>"擬邀請"&amp;B34&amp;"協助"&amp;C34&amp;"，編列「"&amp;IF(LEFT(B33,2)="審查","審查",B33)&amp;"」報酬，以"&amp;E33&amp;C33&amp;"元計算。"</f>
        <v>擬邀請(請選擇)給付對象協助請輸入單價，編列「請選擇基準類別」報酬，以對應計價方式元計算。</v>
      </c>
    </row>
    <row r="33" spans="1:13" ht="30.7" customHeight="1">
      <c r="A33" s="203"/>
      <c r="B33" s="204" t="s">
        <v>211</v>
      </c>
      <c r="C33" s="215" t="str">
        <f>VLOOKUP(B33,審查費!A1:'審查費'!C14,2,FALSE)</f>
        <v>對應計價方式</v>
      </c>
      <c r="D33" s="216"/>
      <c r="E33" s="217"/>
      <c r="F33" s="218" t="str">
        <f>VLOOKUP(B33,審查費!A1:'審查費'!C14,3,FALSE)</f>
        <v>對應計算單位</v>
      </c>
      <c r="G33" s="213"/>
      <c r="H33" s="144"/>
    </row>
    <row r="34" spans="1:13" ht="30.7" customHeight="1" thickBot="1">
      <c r="A34" s="205"/>
      <c r="B34" s="206" t="s">
        <v>264</v>
      </c>
      <c r="C34" s="207" t="s">
        <v>218</v>
      </c>
      <c r="D34" s="208"/>
      <c r="E34" s="209"/>
      <c r="F34" s="210" t="s">
        <v>219</v>
      </c>
      <c r="G34" s="213"/>
      <c r="H34" s="144"/>
    </row>
    <row r="35" spans="1:13" ht="32.85" customHeight="1">
      <c r="A35" s="140" t="s">
        <v>43</v>
      </c>
      <c r="B35" s="57" t="s">
        <v>48</v>
      </c>
      <c r="C35" s="56">
        <v>2000</v>
      </c>
      <c r="D35" s="57" t="s">
        <v>31</v>
      </c>
      <c r="E35" s="63">
        <v>0</v>
      </c>
      <c r="F35" s="59" t="s">
        <v>32</v>
      </c>
      <c r="G35" s="143">
        <f>C35*E35+C36*E36+C37*E37</f>
        <v>0</v>
      </c>
      <c r="H35" s="144"/>
    </row>
    <row r="36" spans="1:13" ht="32.85" customHeight="1">
      <c r="A36" s="140"/>
      <c r="B36" s="57" t="s">
        <v>40</v>
      </c>
      <c r="C36" s="56">
        <v>2000</v>
      </c>
      <c r="D36" s="57" t="s">
        <v>29</v>
      </c>
      <c r="E36" s="63">
        <v>0</v>
      </c>
      <c r="F36" s="59" t="s">
        <v>33</v>
      </c>
      <c r="G36" s="143"/>
      <c r="H36" s="144"/>
    </row>
    <row r="37" spans="1:13" ht="32.85" customHeight="1">
      <c r="A37" s="140"/>
      <c r="B37" s="70" t="s">
        <v>41</v>
      </c>
      <c r="C37" s="71">
        <v>1000</v>
      </c>
      <c r="D37" s="70" t="s">
        <v>30</v>
      </c>
      <c r="E37" s="72">
        <v>0</v>
      </c>
      <c r="F37" s="73" t="s">
        <v>34</v>
      </c>
      <c r="G37" s="143"/>
      <c r="H37" s="144"/>
    </row>
    <row r="38" spans="1:13" ht="40.9" customHeight="1">
      <c r="A38" s="169" t="s">
        <v>108</v>
      </c>
      <c r="B38" s="184" t="s">
        <v>212</v>
      </c>
      <c r="C38" s="185"/>
      <c r="D38" s="185"/>
      <c r="E38" s="185"/>
      <c r="F38" s="186"/>
      <c r="G38" s="173"/>
      <c r="H38" s="174" t="s">
        <v>191</v>
      </c>
    </row>
    <row r="39" spans="1:13" ht="40.9" customHeight="1">
      <c r="A39" s="169"/>
      <c r="B39" s="170" t="str">
        <f>IF(G38&gt;G35*0.7,"超過教材費編列上限","")</f>
        <v/>
      </c>
      <c r="C39" s="171"/>
      <c r="D39" s="171"/>
      <c r="E39" s="171"/>
      <c r="F39" s="172"/>
      <c r="G39" s="173"/>
      <c r="H39" s="174"/>
    </row>
    <row r="40" spans="1:13" ht="79.5" customHeight="1">
      <c r="A40" s="55" t="s">
        <v>120</v>
      </c>
      <c r="B40" s="180" t="s">
        <v>194</v>
      </c>
      <c r="C40" s="181"/>
      <c r="D40" s="181"/>
      <c r="E40" s="181"/>
      <c r="F40" s="182"/>
      <c r="G40" s="64">
        <f>ROUND(((G21+G22+G23+G24+G25+G26+G27+G28+G35+G38)+IF(B31="專業翻譯社/公司",0,G29)+IF(B34="專業翻譯社/公司",0,G32))*0.0211,2)</f>
        <v>0</v>
      </c>
      <c r="H40" s="65" t="s">
        <v>190</v>
      </c>
    </row>
    <row r="41" spans="1:13" ht="28.4" customHeight="1">
      <c r="A41" s="139"/>
      <c r="B41" s="139"/>
      <c r="C41" s="66" t="s">
        <v>175</v>
      </c>
      <c r="D41" s="67" t="s">
        <v>174</v>
      </c>
      <c r="E41" s="161" t="s">
        <v>176</v>
      </c>
      <c r="F41" s="161"/>
      <c r="G41" s="160"/>
      <c r="H41" s="160"/>
    </row>
    <row r="42" spans="1:13" ht="28.4" customHeight="1">
      <c r="A42" s="140" t="s">
        <v>0</v>
      </c>
      <c r="B42" s="139" t="s">
        <v>173</v>
      </c>
      <c r="C42" s="68"/>
      <c r="D42" s="69" t="s">
        <v>138</v>
      </c>
      <c r="E42" s="58"/>
      <c r="F42" s="58" t="s">
        <v>213</v>
      </c>
      <c r="G42" s="168">
        <f>C42*E42+C43*E43+C44*E44+C45*E45</f>
        <v>0</v>
      </c>
      <c r="H42" s="167"/>
    </row>
    <row r="43" spans="1:13" ht="28.4" customHeight="1">
      <c r="A43" s="140"/>
      <c r="B43" s="139"/>
      <c r="C43" s="68"/>
      <c r="D43" s="69" t="s">
        <v>139</v>
      </c>
      <c r="E43" s="58"/>
      <c r="F43" s="58" t="s">
        <v>213</v>
      </c>
      <c r="G43" s="168"/>
      <c r="H43" s="167"/>
    </row>
    <row r="44" spans="1:13" ht="28.4" customHeight="1">
      <c r="A44" s="140"/>
      <c r="B44" s="139"/>
      <c r="C44" s="68"/>
      <c r="D44" s="69" t="s">
        <v>140</v>
      </c>
      <c r="E44" s="58"/>
      <c r="F44" s="58" t="s">
        <v>213</v>
      </c>
      <c r="G44" s="168"/>
      <c r="H44" s="167"/>
    </row>
    <row r="45" spans="1:13" ht="28.4" customHeight="1">
      <c r="A45" s="140"/>
      <c r="B45" s="139"/>
      <c r="C45" s="68"/>
      <c r="D45" s="69" t="s">
        <v>141</v>
      </c>
      <c r="E45" s="58"/>
      <c r="F45" s="58" t="s">
        <v>213</v>
      </c>
      <c r="G45" s="168"/>
      <c r="H45" s="167"/>
    </row>
    <row r="46" spans="1:13" ht="35.15" customHeight="1">
      <c r="A46" s="140" t="s">
        <v>113</v>
      </c>
      <c r="B46" s="139" t="s">
        <v>196</v>
      </c>
      <c r="C46" s="74" t="s">
        <v>109</v>
      </c>
      <c r="D46" s="74" t="s">
        <v>195</v>
      </c>
      <c r="E46" s="74" t="s">
        <v>88</v>
      </c>
      <c r="F46" s="74" t="s">
        <v>197</v>
      </c>
      <c r="G46" s="183">
        <f>E47*D47*F47</f>
        <v>0</v>
      </c>
      <c r="H46" s="214" t="str">
        <f>"聘用"&amp;F47&amp;"位工讀生，每月工讀時數"&amp;C47&amp;"小時，聘期共"&amp;D47&amp;"個月，合計工讀金"&amp;TEXT(G46,"#,##0")&amp;"元，實際金額應依學生在校工讀狀況調整。"</f>
        <v>聘用0位工讀生，每月工讀時數20小時，聘期共0個月，合計工讀金0元，實際金額應依學生在校工讀狀況調整。</v>
      </c>
      <c r="I46" s="219"/>
      <c r="J46" s="220"/>
      <c r="K46" s="220"/>
      <c r="L46" s="220"/>
      <c r="M46" s="31"/>
    </row>
    <row r="47" spans="1:13" ht="35.15" customHeight="1">
      <c r="A47" s="140"/>
      <c r="B47" s="139"/>
      <c r="C47" s="56">
        <v>20</v>
      </c>
      <c r="D47" s="56">
        <v>0</v>
      </c>
      <c r="E47" s="81">
        <f>C47*176</f>
        <v>3520</v>
      </c>
      <c r="F47" s="56">
        <v>0</v>
      </c>
      <c r="G47" s="152"/>
      <c r="H47" s="214"/>
      <c r="I47" s="219"/>
      <c r="J47" s="220"/>
      <c r="K47" s="220"/>
      <c r="L47" s="220"/>
      <c r="M47" s="31"/>
    </row>
    <row r="48" spans="1:13" ht="35.15" customHeight="1">
      <c r="A48" s="140" t="s">
        <v>114</v>
      </c>
      <c r="B48" s="139" t="s">
        <v>115</v>
      </c>
      <c r="C48" s="74" t="s">
        <v>110</v>
      </c>
      <c r="D48" s="74" t="s">
        <v>111</v>
      </c>
      <c r="E48" s="74" t="s">
        <v>2</v>
      </c>
      <c r="F48" s="74" t="s">
        <v>112</v>
      </c>
      <c r="G48" s="159">
        <f>D50*F50*(D49+E49+F49)</f>
        <v>0</v>
      </c>
      <c r="H48" s="214" t="str">
        <f>"每月勞保："&amp;D49&amp;"元，勞退："&amp;E49&amp;"，補充保費："&amp;F49&amp;"元，每人每月勞保退及補充保費合計："&amp;TEXT(D49+E49+F49,"#,##0")&amp;"元，全體臨時工讀生勞保、勞退及補充保費總費用共計："&amp;TEXT((D49+E49+F49)*D50*F50,"#,##0")&amp;"元，實際金額應依學生在校工讀狀況調整。"</f>
        <v>每月勞保：966元，勞退：270，補充保費：74元，每人每月勞保退及補充保費合計：1,310元，全體臨時工讀生勞保、勞退及補充保費總費用共計：0元，實際金額應依學生在校工讀狀況調整。</v>
      </c>
      <c r="I48" s="219"/>
      <c r="J48" s="220"/>
      <c r="K48" s="220"/>
      <c r="L48" s="220"/>
    </row>
    <row r="49" spans="1:12" ht="35.15" customHeight="1">
      <c r="A49" s="140"/>
      <c r="B49" s="139"/>
      <c r="C49" s="75" t="s">
        <v>92</v>
      </c>
      <c r="D49" s="64">
        <f>IF(C49="教職員(公保)","0",IF(C47=0,0,LOOKUP(C47,級距表!A5:A15,級距表!D5:D15)))</f>
        <v>966</v>
      </c>
      <c r="E49" s="64">
        <f>IF(C49="教職員(公保)","0",IF(C47=0,0,LOOKUP(C47*168,級距表!A5:A15,級距表!E5:E15)))</f>
        <v>270</v>
      </c>
      <c r="F49" s="64">
        <f>ROUND(E47*2.11%,0)</f>
        <v>74</v>
      </c>
      <c r="G49" s="159"/>
      <c r="H49" s="214"/>
      <c r="I49" s="219"/>
      <c r="J49" s="220"/>
      <c r="K49" s="220"/>
      <c r="L49" s="220"/>
    </row>
    <row r="50" spans="1:12" ht="35.15" customHeight="1">
      <c r="A50" s="140"/>
      <c r="B50" s="139"/>
      <c r="C50" s="74" t="s">
        <v>198</v>
      </c>
      <c r="D50" s="64">
        <f>D47</f>
        <v>0</v>
      </c>
      <c r="E50" s="74" t="s">
        <v>197</v>
      </c>
      <c r="F50" s="64">
        <f>F47</f>
        <v>0</v>
      </c>
      <c r="G50" s="159"/>
      <c r="H50" s="214"/>
      <c r="I50" s="219"/>
      <c r="J50" s="220"/>
      <c r="K50" s="220"/>
      <c r="L50" s="220"/>
    </row>
    <row r="51" spans="1:12" ht="64.650000000000006" customHeight="1">
      <c r="A51" s="140" t="s">
        <v>3</v>
      </c>
      <c r="B51" s="139" t="s">
        <v>46</v>
      </c>
      <c r="C51" s="187"/>
      <c r="D51" s="187"/>
      <c r="E51" s="187"/>
      <c r="F51" s="187"/>
      <c r="G51" s="158"/>
      <c r="H51" s="167"/>
    </row>
    <row r="52" spans="1:12" ht="64.650000000000006" customHeight="1">
      <c r="A52" s="140"/>
      <c r="B52" s="139"/>
      <c r="C52" s="187"/>
      <c r="D52" s="187"/>
      <c r="E52" s="187"/>
      <c r="F52" s="187"/>
      <c r="G52" s="158"/>
      <c r="H52" s="167"/>
    </row>
    <row r="53" spans="1:12" ht="64.650000000000006" customHeight="1">
      <c r="A53" s="55" t="s">
        <v>116</v>
      </c>
      <c r="B53" s="57" t="s">
        <v>170</v>
      </c>
      <c r="C53" s="141" t="str">
        <f>IF(G53&gt;30,"超過規範上限","")</f>
        <v/>
      </c>
      <c r="D53" s="141"/>
      <c r="E53" s="141"/>
      <c r="F53" s="141"/>
      <c r="G53" s="56"/>
      <c r="H53" s="65"/>
    </row>
    <row r="54" spans="1:12" ht="64.650000000000006" customHeight="1">
      <c r="A54" s="55" t="s">
        <v>118</v>
      </c>
      <c r="B54" s="57" t="s">
        <v>117</v>
      </c>
      <c r="C54" s="141"/>
      <c r="D54" s="141"/>
      <c r="E54" s="141"/>
      <c r="F54" s="141"/>
      <c r="G54" s="79"/>
      <c r="H54" s="65"/>
    </row>
    <row r="55" spans="1:12" ht="64.650000000000006" customHeight="1">
      <c r="A55" s="55" t="s">
        <v>119</v>
      </c>
      <c r="B55" s="57" t="s">
        <v>117</v>
      </c>
      <c r="C55" s="141"/>
      <c r="D55" s="141"/>
      <c r="E55" s="141"/>
      <c r="F55" s="141"/>
      <c r="G55" s="79"/>
      <c r="H55" s="65"/>
    </row>
    <row r="56" spans="1:12" ht="64.650000000000006" customHeight="1">
      <c r="A56" s="55" t="s">
        <v>121</v>
      </c>
      <c r="B56" s="57" t="s">
        <v>117</v>
      </c>
      <c r="C56" s="141"/>
      <c r="D56" s="141"/>
      <c r="E56" s="141"/>
      <c r="F56" s="141"/>
      <c r="G56" s="79"/>
      <c r="H56" s="65"/>
    </row>
    <row r="57" spans="1:12" ht="26.5" customHeight="1">
      <c r="A57" s="140" t="s">
        <v>122</v>
      </c>
      <c r="B57" s="76" t="s">
        <v>187</v>
      </c>
      <c r="C57" s="175" t="s">
        <v>183</v>
      </c>
      <c r="D57" s="175"/>
      <c r="E57" s="77" t="s">
        <v>184</v>
      </c>
      <c r="F57" s="77" t="s">
        <v>185</v>
      </c>
      <c r="G57" s="123">
        <f>E58*F58+E59*F59</f>
        <v>0</v>
      </c>
      <c r="H57" s="177"/>
    </row>
    <row r="58" spans="1:12" ht="26.5" customHeight="1">
      <c r="A58" s="140"/>
      <c r="B58" s="178" t="str">
        <f>VLOOKUP(B57,膳食費!A1:B6,2,FALSE)</f>
        <v>報支金額上限(單位：每人)</v>
      </c>
      <c r="C58" s="176" t="s">
        <v>182</v>
      </c>
      <c r="D58" s="176"/>
      <c r="E58" s="78"/>
      <c r="F58" s="78"/>
      <c r="G58" s="124"/>
      <c r="H58" s="177"/>
    </row>
    <row r="59" spans="1:12" ht="26.5" customHeight="1">
      <c r="A59" s="140"/>
      <c r="B59" s="178"/>
      <c r="C59" s="176"/>
      <c r="D59" s="176"/>
      <c r="E59" s="78"/>
      <c r="F59" s="78"/>
      <c r="G59" s="124"/>
      <c r="H59" s="177"/>
    </row>
    <row r="60" spans="1:12" ht="27.1" customHeight="1">
      <c r="A60" s="140"/>
      <c r="B60" s="179" t="s">
        <v>186</v>
      </c>
      <c r="C60" s="179"/>
      <c r="D60" s="179"/>
      <c r="E60" s="179"/>
      <c r="F60" s="179"/>
      <c r="G60" s="125"/>
      <c r="H60" s="177"/>
    </row>
    <row r="61" spans="1:12" ht="48.4" customHeight="1">
      <c r="A61" s="55" t="s">
        <v>123</v>
      </c>
      <c r="B61" s="221" t="s">
        <v>266</v>
      </c>
      <c r="C61" s="221"/>
      <c r="D61" s="221"/>
      <c r="E61" s="221"/>
      <c r="F61" s="221"/>
      <c r="G61" s="79"/>
      <c r="H61" s="65"/>
    </row>
    <row r="62" spans="1:12" ht="42.8" customHeight="1">
      <c r="A62" s="106" t="s">
        <v>44</v>
      </c>
      <c r="B62" s="110" t="s">
        <v>45</v>
      </c>
      <c r="C62" s="133"/>
      <c r="D62" s="133"/>
      <c r="E62" s="133"/>
      <c r="F62" s="134"/>
      <c r="G62" s="111"/>
      <c r="H62" s="65"/>
    </row>
    <row r="63" spans="1:12" ht="42.8" customHeight="1">
      <c r="A63" s="106" t="s">
        <v>124</v>
      </c>
      <c r="B63" s="110" t="s">
        <v>128</v>
      </c>
      <c r="C63" s="133"/>
      <c r="D63" s="133"/>
      <c r="E63" s="133"/>
      <c r="F63" s="134"/>
      <c r="G63" s="111"/>
      <c r="H63" s="65"/>
    </row>
    <row r="64" spans="1:12" ht="42.8" customHeight="1">
      <c r="A64" s="106" t="s">
        <v>126</v>
      </c>
      <c r="B64" s="110" t="s">
        <v>127</v>
      </c>
      <c r="C64" s="133"/>
      <c r="D64" s="133"/>
      <c r="E64" s="133"/>
      <c r="F64" s="134"/>
      <c r="G64" s="111"/>
      <c r="H64" s="65"/>
    </row>
    <row r="65" spans="1:8" ht="48.4">
      <c r="A65" s="106" t="s">
        <v>125</v>
      </c>
      <c r="B65" s="110" t="s">
        <v>199</v>
      </c>
      <c r="C65" s="133" t="s">
        <v>268</v>
      </c>
      <c r="D65" s="133"/>
      <c r="E65" s="133"/>
      <c r="F65" s="134"/>
      <c r="G65" s="111"/>
      <c r="H65" s="65"/>
    </row>
    <row r="66" spans="1:8" ht="59.9" customHeight="1">
      <c r="A66" s="108" t="s">
        <v>267</v>
      </c>
      <c r="B66" s="112" t="s">
        <v>200</v>
      </c>
      <c r="C66" s="137"/>
      <c r="D66" s="138"/>
      <c r="E66" s="113">
        <v>1</v>
      </c>
      <c r="F66" s="114" t="s">
        <v>51</v>
      </c>
      <c r="G66" s="68"/>
      <c r="H66" s="65"/>
    </row>
    <row r="67" spans="1:8" ht="59.9" customHeight="1">
      <c r="A67" s="108" t="s">
        <v>204</v>
      </c>
      <c r="B67" s="110" t="s">
        <v>117</v>
      </c>
      <c r="C67" s="135"/>
      <c r="D67" s="136"/>
      <c r="E67" s="109">
        <v>1</v>
      </c>
      <c r="F67" s="80" t="s">
        <v>52</v>
      </c>
      <c r="G67" s="68"/>
      <c r="H67" s="65"/>
    </row>
    <row r="68" spans="1:8" ht="59.9" customHeight="1">
      <c r="A68" s="108" t="s">
        <v>49</v>
      </c>
      <c r="B68" s="110" t="s">
        <v>129</v>
      </c>
      <c r="C68" s="135"/>
      <c r="D68" s="136"/>
      <c r="E68" s="109">
        <v>1</v>
      </c>
      <c r="F68" s="80" t="s">
        <v>51</v>
      </c>
      <c r="G68" s="68"/>
      <c r="H68" s="65"/>
    </row>
    <row r="69" spans="1:8" ht="59.9" customHeight="1">
      <c r="A69" s="106" t="s">
        <v>130</v>
      </c>
      <c r="B69" s="110" t="s">
        <v>47</v>
      </c>
      <c r="C69" s="135"/>
      <c r="D69" s="136"/>
      <c r="E69" s="109">
        <v>1</v>
      </c>
      <c r="F69" s="80" t="s">
        <v>51</v>
      </c>
      <c r="G69" s="68"/>
      <c r="H69" s="65"/>
    </row>
    <row r="70" spans="1:8" ht="59.9" customHeight="1">
      <c r="A70" s="106" t="s">
        <v>131</v>
      </c>
      <c r="B70" s="110" t="s">
        <v>47</v>
      </c>
      <c r="C70" s="135"/>
      <c r="D70" s="136"/>
      <c r="E70" s="109">
        <v>1</v>
      </c>
      <c r="F70" s="80" t="s">
        <v>51</v>
      </c>
      <c r="G70" s="68"/>
      <c r="H70" s="65"/>
    </row>
    <row r="71" spans="1:8" ht="31.7" customHeight="1">
      <c r="A71" s="130"/>
      <c r="B71" s="131"/>
      <c r="C71" s="131"/>
      <c r="D71" s="131"/>
      <c r="E71" s="130"/>
      <c r="F71" s="130"/>
      <c r="G71" s="130"/>
      <c r="H71" s="130"/>
    </row>
    <row r="72" spans="1:8" ht="28.25">
      <c r="A72" s="82" t="s">
        <v>133</v>
      </c>
      <c r="B72" s="122">
        <f>G74+G75+G76</f>
        <v>0</v>
      </c>
      <c r="C72" s="122"/>
      <c r="D72" s="122"/>
      <c r="E72" s="122"/>
      <c r="F72" s="122"/>
      <c r="G72" s="122"/>
      <c r="H72" s="122"/>
    </row>
    <row r="73" spans="1:8" ht="33.549999999999997" customHeight="1">
      <c r="A73" s="132" t="s">
        <v>72</v>
      </c>
      <c r="B73" s="132"/>
      <c r="C73" s="132" t="s">
        <v>132</v>
      </c>
      <c r="D73" s="132"/>
      <c r="E73" s="83" t="s">
        <v>99</v>
      </c>
      <c r="F73" s="84" t="s">
        <v>100</v>
      </c>
      <c r="G73" s="84" t="s">
        <v>104</v>
      </c>
      <c r="H73" s="84" t="s">
        <v>105</v>
      </c>
    </row>
    <row r="74" spans="1:8" ht="33.549999999999997" customHeight="1">
      <c r="A74" s="128"/>
      <c r="B74" s="128"/>
      <c r="C74" s="129"/>
      <c r="D74" s="129"/>
      <c r="E74" s="85"/>
      <c r="F74" s="86"/>
      <c r="G74" s="87">
        <f>C74*E74</f>
        <v>0</v>
      </c>
      <c r="H74" s="126"/>
    </row>
    <row r="75" spans="1:8" ht="33.549999999999997" customHeight="1">
      <c r="A75" s="128"/>
      <c r="B75" s="128"/>
      <c r="C75" s="129"/>
      <c r="D75" s="129"/>
      <c r="E75" s="85"/>
      <c r="F75" s="86"/>
      <c r="G75" s="87">
        <v>0</v>
      </c>
      <c r="H75" s="127"/>
    </row>
    <row r="76" spans="1:8" ht="33.549999999999997" customHeight="1">
      <c r="A76" s="128"/>
      <c r="B76" s="128"/>
      <c r="C76" s="129"/>
      <c r="D76" s="129"/>
      <c r="E76" s="85"/>
      <c r="F76" s="86"/>
      <c r="G76" s="87">
        <f>C76*E76</f>
        <v>0</v>
      </c>
      <c r="H76" s="127"/>
    </row>
  </sheetData>
  <sheetProtection algorithmName="SHA-512" hashValue="Rmr0rJ8gpMPRUslN6Ym9RxWPonmj/RogRfgtfiCOGPYiPA3sHUzw20IAyoMbazbcAc+R7ctmkKctWBhtlu8fMg==" saltValue="+VFpeFITgCstvOabIU8iBA==" spinCount="100000" sheet="1" objects="1" scenarios="1" selectLockedCells="1"/>
  <protectedRanges>
    <protectedRange sqref="C12:D12 B17 C15:D15" name="範圍1"/>
  </protectedRanges>
  <dataConsolidate/>
  <mergeCells count="98">
    <mergeCell ref="I46:L50"/>
    <mergeCell ref="A2:H2"/>
    <mergeCell ref="A32:A34"/>
    <mergeCell ref="C32:E32"/>
    <mergeCell ref="C33:E33"/>
    <mergeCell ref="C34:E34"/>
    <mergeCell ref="G32:G34"/>
    <mergeCell ref="A38:A39"/>
    <mergeCell ref="B39:F39"/>
    <mergeCell ref="G38:G39"/>
    <mergeCell ref="H38:H39"/>
    <mergeCell ref="A57:A60"/>
    <mergeCell ref="C57:D57"/>
    <mergeCell ref="C58:D58"/>
    <mergeCell ref="C59:D59"/>
    <mergeCell ref="H57:H60"/>
    <mergeCell ref="B58:B59"/>
    <mergeCell ref="B60:F60"/>
    <mergeCell ref="B40:F40"/>
    <mergeCell ref="G46:G47"/>
    <mergeCell ref="B38:F38"/>
    <mergeCell ref="C51:F52"/>
    <mergeCell ref="H51:H52"/>
    <mergeCell ref="H42:H45"/>
    <mergeCell ref="G42:G45"/>
    <mergeCell ref="H48:H50"/>
    <mergeCell ref="H46:H47"/>
    <mergeCell ref="G29:G31"/>
    <mergeCell ref="H32:H34"/>
    <mergeCell ref="C20:D20"/>
    <mergeCell ref="A10:H10"/>
    <mergeCell ref="A13:H13"/>
    <mergeCell ref="E16:F16"/>
    <mergeCell ref="E17:F17"/>
    <mergeCell ref="G15:G17"/>
    <mergeCell ref="H15:H17"/>
    <mergeCell ref="A15:A17"/>
    <mergeCell ref="C29:E29"/>
    <mergeCell ref="C30:E30"/>
    <mergeCell ref="C31:E31"/>
    <mergeCell ref="G51:G52"/>
    <mergeCell ref="A48:A50"/>
    <mergeCell ref="B48:B50"/>
    <mergeCell ref="G48:G50"/>
    <mergeCell ref="B21:B26"/>
    <mergeCell ref="G41:H41"/>
    <mergeCell ref="A41:B41"/>
    <mergeCell ref="E41:F41"/>
    <mergeCell ref="B42:B45"/>
    <mergeCell ref="A42:A45"/>
    <mergeCell ref="H29:H31"/>
    <mergeCell ref="A29:A31"/>
    <mergeCell ref="A1:H1"/>
    <mergeCell ref="A35:A37"/>
    <mergeCell ref="G35:G37"/>
    <mergeCell ref="H35:H37"/>
    <mergeCell ref="C6:H6"/>
    <mergeCell ref="C7:H7"/>
    <mergeCell ref="E11:F11"/>
    <mergeCell ref="E12:F12"/>
    <mergeCell ref="E15:F15"/>
    <mergeCell ref="C5:H5"/>
    <mergeCell ref="C4:H4"/>
    <mergeCell ref="C3:H3"/>
    <mergeCell ref="E14:F14"/>
    <mergeCell ref="B9:H9"/>
    <mergeCell ref="A18:H18"/>
    <mergeCell ref="B19:H19"/>
    <mergeCell ref="A46:A47"/>
    <mergeCell ref="B51:B52"/>
    <mergeCell ref="A51:A52"/>
    <mergeCell ref="B61:F61"/>
    <mergeCell ref="C62:F62"/>
    <mergeCell ref="C53:F53"/>
    <mergeCell ref="C54:F54"/>
    <mergeCell ref="C55:F55"/>
    <mergeCell ref="C56:F56"/>
    <mergeCell ref="C69:D69"/>
    <mergeCell ref="C63:F63"/>
    <mergeCell ref="B46:B47"/>
    <mergeCell ref="C68:D68"/>
    <mergeCell ref="C67:D67"/>
    <mergeCell ref="B72:H72"/>
    <mergeCell ref="G57:G60"/>
    <mergeCell ref="H74:H76"/>
    <mergeCell ref="A76:B76"/>
    <mergeCell ref="A74:B74"/>
    <mergeCell ref="C76:D76"/>
    <mergeCell ref="C74:D74"/>
    <mergeCell ref="C75:D75"/>
    <mergeCell ref="A75:B75"/>
    <mergeCell ref="A71:H71"/>
    <mergeCell ref="C73:D73"/>
    <mergeCell ref="A73:B73"/>
    <mergeCell ref="C65:F65"/>
    <mergeCell ref="C64:F64"/>
    <mergeCell ref="C70:D70"/>
    <mergeCell ref="C66:D66"/>
  </mergeCells>
  <phoneticPr fontId="5" type="noConversion"/>
  <conditionalFormatting sqref="C4:H6">
    <cfRule type="containsText" dxfId="0" priority="20" operator="containsText" text="*">
      <formula>NOT(ISERROR(SEARCH("*",C4)))</formula>
    </cfRule>
  </conditionalFormatting>
  <hyperlinks>
    <hyperlink ref="A4" location="經費試算表!A9" display="人事費"/>
    <hyperlink ref="A6" location="經費試算表!A69" display="設備費"/>
    <hyperlink ref="A5" location="經費試算表!A19" display="業務費"/>
    <hyperlink ref="B61:F61" r:id="rId1" display="https://tturule.ttu.edu.tw/rulelist/showcontent.php?rid=305"/>
  </hyperlinks>
  <pageMargins left="0.25" right="0.25" top="0.75" bottom="0.75" header="0.3" footer="0.3"/>
  <pageSetup paperSize="9" scale="53" fitToHeight="0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8" id="{C4AE5006-5C29-4EA5-9DE4-570ADAF9E46C}">
            <x14:iconSet iconSet="3Symbols" custom="1">
              <x14:cfvo type="percent">
                <xm:f>0</xm:f>
              </x14:cfvo>
              <x14:cfvo type="percent">
                <xm:f>33</xm:f>
              </x14:cfvo>
              <x14:cfvo type="num" gte="0">
                <xm:f>$B$7*0.6</xm:f>
              </x14:cfvo>
              <x14:cfIcon iconSet="NoIcons" iconId="0"/>
              <x14:cfIcon iconSet="NoIcons" iconId="0"/>
              <x14:cfIcon iconSet="3Symbols" iconId="0"/>
            </x14:iconSet>
          </x14:cfRule>
          <xm:sqref>B4</xm:sqref>
        </x14:conditionalFormatting>
        <x14:conditionalFormatting xmlns:xm="http://schemas.microsoft.com/office/excel/2006/main">
          <x14:cfRule type="iconSet" priority="35" id="{32048F5E-D0BE-414F-A664-1D1DCFA54C26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>
                <xm:f>8001</xm:f>
              </x14:cfvo>
              <x14:cfIcon iconSet="NoIcons" iconId="0"/>
              <x14:cfIcon iconSet="NoIcons" iconId="0"/>
              <x14:cfIcon iconSet="3Symbols" iconId="0"/>
            </x14:iconSet>
          </x14:cfRule>
          <xm:sqref>D12</xm:sqref>
        </x14:conditionalFormatting>
        <x14:conditionalFormatting xmlns:xm="http://schemas.microsoft.com/office/excel/2006/main">
          <x14:cfRule type="iconSet" priority="34" id="{5E24B225-BAAE-4D8D-A59D-490CD4BEFD42}">
            <x14:iconSet iconSet="3Symbols" custom="1">
              <x14:cfvo type="percent">
                <xm:f>0</xm:f>
              </x14:cfvo>
              <x14:cfvo type="percent">
                <xm:f>0</xm:f>
              </x14:cfvo>
              <x14:cfvo type="num">
                <xm:f>5001</xm:f>
              </x14:cfvo>
              <x14:cfIcon iconSet="NoIcons" iconId="0"/>
              <x14:cfIcon iconSet="NoIcons" iconId="0"/>
              <x14:cfIcon iconSet="3Symbols" iconId="0"/>
            </x14:iconSet>
          </x14:cfRule>
          <xm:sqref>D15</xm:sqref>
        </x14:conditionalFormatting>
        <x14:conditionalFormatting xmlns:xm="http://schemas.microsoft.com/office/excel/2006/main">
          <x14:cfRule type="iconSet" priority="32" id="{49AD17C8-EF5C-4899-AB50-195407B299A8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C27</xm:sqref>
        </x14:conditionalFormatting>
        <x14:conditionalFormatting xmlns:xm="http://schemas.microsoft.com/office/excel/2006/main">
          <x14:cfRule type="iconSet" priority="31" id="{F83C0146-4F41-4D69-B34F-F84AD8348D78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C28</xm:sqref>
        </x14:conditionalFormatting>
        <x14:conditionalFormatting xmlns:xm="http://schemas.microsoft.com/office/excel/2006/main">
          <x14:cfRule type="iconSet" priority="28" id="{23288FD9-ADB3-4631-B7DC-AA21B860E55E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30000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G53</xm:sqref>
        </x14:conditionalFormatting>
        <x14:conditionalFormatting xmlns:xm="http://schemas.microsoft.com/office/excel/2006/main">
          <x14:cfRule type="iconSet" priority="26" id="{E932A483-6AA9-4A29-9C40-22177F28FA52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2400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C35</xm:sqref>
        </x14:conditionalFormatting>
        <x14:conditionalFormatting xmlns:xm="http://schemas.microsoft.com/office/excel/2006/main">
          <x14:cfRule type="iconSet" priority="25" id="{6FB797A4-A9DC-46BC-A3BB-6514F29E9909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2000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C36</xm:sqref>
        </x14:conditionalFormatting>
        <x14:conditionalFormatting xmlns:xm="http://schemas.microsoft.com/office/excel/2006/main">
          <x14:cfRule type="iconSet" priority="24" id="{23461FB1-C979-47DD-A957-DE58A73BA81A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1000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C37</xm:sqref>
        </x14:conditionalFormatting>
        <x14:conditionalFormatting xmlns:xm="http://schemas.microsoft.com/office/excel/2006/main">
          <x14:cfRule type="iconSet" priority="39" id="{40137C5C-D3E5-4FAA-82A5-ABEACCD47EE6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2500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C21:C26</xm:sqref>
        </x14:conditionalFormatting>
        <x14:conditionalFormatting xmlns:xm="http://schemas.microsoft.com/office/excel/2006/main">
          <x14:cfRule type="iconSet" priority="40" id="{7F27D89D-514E-4B15-9B84-66A5990ACC81}">
            <x14:iconSet custom="1">
              <x14:cfvo type="percent">
                <xm:f>0</xm:f>
              </x14:cfvo>
              <x14:cfvo type="percent">
                <xm:f>33</xm:f>
              </x14:cfvo>
              <x14:cfvo type="num">
                <xm:f>500000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B7:B8</xm:sqref>
        </x14:conditionalFormatting>
        <x14:conditionalFormatting xmlns:xm="http://schemas.microsoft.com/office/excel/2006/main">
          <x14:cfRule type="iconSet" priority="22" id="{EA48029C-4BB2-4DA3-9C43-6F4752430203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</xm:f>
              </x14:cfvo>
              <x14:cfIcon iconSet="NoIcons" iconId="0"/>
              <x14:cfIcon iconSet="NoIcons" iconId="0"/>
              <x14:cfIcon iconSet="3Symbols" iconId="0"/>
            </x14:iconSet>
          </x14:cfRule>
          <xm:sqref>C12</xm:sqref>
        </x14:conditionalFormatting>
        <x14:conditionalFormatting xmlns:xm="http://schemas.microsoft.com/office/excel/2006/main">
          <x14:cfRule type="iconSet" priority="21" id="{14E66299-B378-4728-B3BA-C72B90C9331B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12</xm:f>
              </x14:cfvo>
              <x14:cfIcon iconSet="NoIcons" iconId="0"/>
              <x14:cfIcon iconSet="NoIcons" iconId="0"/>
              <x14:cfIcon iconSet="3Symbols" iconId="0"/>
            </x14:iconSet>
          </x14:cfRule>
          <xm:sqref>C15</xm:sqref>
        </x14:conditionalFormatting>
        <x14:conditionalFormatting xmlns:xm="http://schemas.microsoft.com/office/excel/2006/main">
          <x14:cfRule type="iconSet" priority="14" id="{EF41758B-CA99-4923-BA7E-3FA095BD28E3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30000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G51</xm:sqref>
        </x14:conditionalFormatting>
        <x14:conditionalFormatting xmlns:xm="http://schemas.microsoft.com/office/excel/2006/main">
          <x14:cfRule type="iconSet" priority="13" id="{0A9082C1-8316-49D7-A1A5-16EA62EA4281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6</xm:f>
              </x14:cfvo>
              <x14:cfIcon iconSet="NoIcons" iconId="0"/>
              <x14:cfIcon iconSet="NoIcons" iconId="0"/>
              <x14:cfIcon iconSet="3Symbols" iconId="0"/>
            </x14:iconSet>
          </x14:cfRule>
          <xm:sqref>D47</xm:sqref>
        </x14:conditionalFormatting>
        <x14:conditionalFormatting xmlns:xm="http://schemas.microsoft.com/office/excel/2006/main">
          <x14:cfRule type="iconSet" priority="12" id="{8DC25115-56C9-402E-9A06-A12B6D28E18D}">
            <x14:iconSet custom="1">
              <x14:cfvo type="percent">
                <xm:f>0</xm:f>
              </x14:cfvo>
              <x14:cfvo type="num" gte="0">
                <xm:f>0</xm:f>
              </x14:cfvo>
              <x14:cfvo type="num" gte="0">
                <xm:f>6</xm:f>
              </x14:cfvo>
              <x14:cfIcon iconSet="NoIcons" iconId="0"/>
              <x14:cfIcon iconSet="NoIcons" iconId="0"/>
              <x14:cfIcon iconSet="3Symbols" iconId="0"/>
            </x14:iconSet>
          </x14:cfRule>
          <xm:sqref>F47</xm:sqref>
        </x14:conditionalFormatting>
        <x14:conditionalFormatting xmlns:xm="http://schemas.microsoft.com/office/excel/2006/main">
          <x14:cfRule type="iconSet" priority="11" id="{AAF8EFC5-B29B-421B-9677-18875782DC09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30000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G57</xm:sqref>
        </x14:conditionalFormatting>
        <x14:conditionalFormatting xmlns:xm="http://schemas.microsoft.com/office/excel/2006/main">
          <x14:cfRule type="iconSet" priority="41" id="{0C57E6C8-7F54-4755-BD18-A5A90BCB368A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#REF!*0.03</xm:f>
              </x14:cfvo>
              <x14:cfIcon iconSet="NoIcons" iconId="0"/>
              <x14:cfIcon iconSet="NoIcons" iconId="0"/>
              <x14:cfIcon iconSet="3Symbols" iconId="1"/>
            </x14:iconSet>
          </x14:cfRule>
          <xm:sqref>G68</xm:sqref>
        </x14:conditionalFormatting>
        <x14:conditionalFormatting xmlns:xm="http://schemas.microsoft.com/office/excel/2006/main">
          <x14:cfRule type="iconSet" priority="9" id="{B0CEB544-3E97-447B-9683-2BF1933C928A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B31</xm:sqref>
        </x14:conditionalFormatting>
        <x14:conditionalFormatting xmlns:xm="http://schemas.microsoft.com/office/excel/2006/main">
          <x14:cfRule type="iconSet" priority="10" id="{AAA79727-C20D-4A56-B303-4A01745CD300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B30</xm:sqref>
        </x14:conditionalFormatting>
        <x14:conditionalFormatting xmlns:xm="http://schemas.microsoft.com/office/excel/2006/main">
          <x14:cfRule type="iconSet" priority="8" id="{1481454B-1931-4856-8B61-94973BB7A1B6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C31</xm:sqref>
        </x14:conditionalFormatting>
        <x14:conditionalFormatting xmlns:xm="http://schemas.microsoft.com/office/excel/2006/main">
          <x14:cfRule type="iconSet" priority="7" id="{DCB08AA5-CAEA-4176-AE5E-E685719C256E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C30</xm:sqref>
        </x14:conditionalFormatting>
        <x14:conditionalFormatting xmlns:xm="http://schemas.microsoft.com/office/excel/2006/main">
          <x14:cfRule type="iconSet" priority="4" id="{9224D637-012B-4E41-AD2D-1D5627756057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C33</xm:sqref>
        </x14:conditionalFormatting>
        <x14:conditionalFormatting xmlns:xm="http://schemas.microsoft.com/office/excel/2006/main">
          <x14:cfRule type="iconSet" priority="5" id="{CD000903-CEEB-4510-B18C-8E03ABE701A5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B33</xm:sqref>
        </x14:conditionalFormatting>
        <x14:conditionalFormatting xmlns:xm="http://schemas.microsoft.com/office/excel/2006/main">
          <x14:cfRule type="iconSet" priority="2" id="{92A3BD09-8007-46B8-AE9D-736398AE5CBF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B34</xm:sqref>
        </x14:conditionalFormatting>
        <x14:conditionalFormatting xmlns:xm="http://schemas.microsoft.com/office/excel/2006/main">
          <x14:cfRule type="iconSet" priority="1" id="{E8335DFA-4737-435D-9645-DBC09954CF9D}">
            <x14:iconSet custom="1">
              <x14:cfvo type="percent">
                <xm:f>0</xm:f>
              </x14:cfvo>
              <x14:cfvo type="percent">
                <xm:f>33</xm:f>
              </x14:cfvo>
              <x14:cfvo type="num" gte="0">
                <xm:f>4000</xm:f>
              </x14:cfvo>
              <x14:cfIcon iconSet="NoIcons" iconId="0"/>
              <x14:cfIcon iconSet="NoIcons" iconId="0"/>
              <x14:cfIcon iconSet="3Symbols" iconId="0"/>
            </x14:iconSet>
          </x14:cfRule>
          <xm:sqref>C34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投保身分!$A$1:$A$3</xm:f>
          </x14:formula1>
          <xm:sqref>C49</xm:sqref>
        </x14:dataValidation>
        <x14:dataValidation type="list" allowBlank="1" showInputMessage="1" showErrorMessage="1">
          <x14:formula1>
            <xm:f>資料驗證!$A$1:$A$4</xm:f>
          </x14:formula1>
          <xm:sqref>B17</xm:sqref>
        </x14:dataValidation>
        <x14:dataValidation type="list" allowBlank="1" showInputMessage="1" showErrorMessage="1">
          <x14:formula1>
            <xm:f>膳食費!$A$1:$A$6</xm:f>
          </x14:formula1>
          <xm:sqref>B57</xm:sqref>
        </x14:dataValidation>
        <x14:dataValidation type="list" allowBlank="1" showInputMessage="1">
          <x14:formula1>
            <xm:f>膳食費!$A$2:$A$6</xm:f>
          </x14:formula1>
          <xm:sqref>C58:D59</xm:sqref>
        </x14:dataValidation>
        <x14:dataValidation type="list" allowBlank="1" showInputMessage="1" showErrorMessage="1">
          <x14:formula1>
            <xm:f>稿費!$A$1:$A$14</xm:f>
          </x14:formula1>
          <xm:sqref>B30</xm:sqref>
        </x14:dataValidation>
        <x14:dataValidation type="list" allowBlank="1" showInputMessage="1" showErrorMessage="1">
          <x14:formula1>
            <xm:f>資料驗證!$C$1:$C$3</xm:f>
          </x14:formula1>
          <xm:sqref>B31 B34</xm:sqref>
        </x14:dataValidation>
        <x14:dataValidation type="list" allowBlank="1" showInputMessage="1" showErrorMessage="1">
          <x14:formula1>
            <xm:f>審查費!$A$1:$A$6</xm:f>
          </x14:formula1>
          <xm:sqref>B33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I46" sqref="I46:L50"/>
    </sheetView>
  </sheetViews>
  <sheetFormatPr defaultColWidth="51.59765625" defaultRowHeight="16.149999999999999"/>
  <cols>
    <col min="1" max="1" width="34.09765625" style="38" bestFit="1" customWidth="1"/>
    <col min="2" max="2" width="50.8984375" style="38" bestFit="1" customWidth="1"/>
    <col min="3" max="3" width="17.3984375" style="38" bestFit="1" customWidth="1"/>
  </cols>
  <sheetData>
    <row r="1" spans="1:3" ht="19.05">
      <c r="A1" s="34" t="s">
        <v>223</v>
      </c>
      <c r="B1" s="34" t="s">
        <v>225</v>
      </c>
      <c r="C1" s="34" t="s">
        <v>227</v>
      </c>
    </row>
    <row r="2" spans="1:3">
      <c r="A2" s="35" t="s">
        <v>228</v>
      </c>
      <c r="B2" s="37" t="s">
        <v>229</v>
      </c>
      <c r="C2" s="37" t="s">
        <v>230</v>
      </c>
    </row>
    <row r="3" spans="1:3">
      <c r="A3" s="35" t="s">
        <v>231</v>
      </c>
      <c r="B3" s="37" t="s">
        <v>232</v>
      </c>
      <c r="C3" s="37" t="s">
        <v>230</v>
      </c>
    </row>
    <row r="4" spans="1:3">
      <c r="A4" s="35" t="s">
        <v>233</v>
      </c>
      <c r="B4" s="37" t="s">
        <v>234</v>
      </c>
      <c r="C4" s="37" t="s">
        <v>235</v>
      </c>
    </row>
    <row r="5" spans="1:3">
      <c r="A5" s="35" t="s">
        <v>236</v>
      </c>
      <c r="B5" s="37" t="s">
        <v>237</v>
      </c>
      <c r="C5" s="37" t="s">
        <v>75</v>
      </c>
    </row>
    <row r="6" spans="1:3">
      <c r="A6" s="35" t="s">
        <v>238</v>
      </c>
      <c r="B6" s="37" t="s">
        <v>239</v>
      </c>
      <c r="C6" s="37" t="s">
        <v>235</v>
      </c>
    </row>
    <row r="7" spans="1:3">
      <c r="A7" s="35" t="s">
        <v>240</v>
      </c>
      <c r="B7" s="37" t="s">
        <v>241</v>
      </c>
      <c r="C7" s="37" t="s">
        <v>242</v>
      </c>
    </row>
    <row r="8" spans="1:3" ht="32.25">
      <c r="A8" s="35" t="s">
        <v>243</v>
      </c>
      <c r="B8" s="36" t="s">
        <v>244</v>
      </c>
      <c r="C8" s="36"/>
    </row>
    <row r="9" spans="1:3" ht="48.4">
      <c r="A9" s="35" t="s">
        <v>245</v>
      </c>
      <c r="B9" s="36" t="s">
        <v>246</v>
      </c>
      <c r="C9" s="36"/>
    </row>
    <row r="10" spans="1:3" ht="32.25">
      <c r="A10" s="35" t="s">
        <v>247</v>
      </c>
      <c r="B10" s="36" t="s">
        <v>244</v>
      </c>
      <c r="C10" s="36"/>
    </row>
    <row r="11" spans="1:3" ht="32.25">
      <c r="A11" s="35" t="s">
        <v>248</v>
      </c>
      <c r="B11" s="36" t="s">
        <v>244</v>
      </c>
      <c r="C11" s="36"/>
    </row>
    <row r="12" spans="1:3" ht="32.25">
      <c r="A12" s="35" t="s">
        <v>249</v>
      </c>
      <c r="B12" s="36" t="s">
        <v>244</v>
      </c>
      <c r="C12" s="36"/>
    </row>
    <row r="13" spans="1:3" ht="32.25">
      <c r="A13" s="35" t="s">
        <v>250</v>
      </c>
      <c r="B13" s="36" t="s">
        <v>244</v>
      </c>
      <c r="C13" s="36"/>
    </row>
    <row r="14" spans="1:3" ht="32.25">
      <c r="A14" s="35" t="s">
        <v>251</v>
      </c>
      <c r="B14" s="36" t="s">
        <v>244</v>
      </c>
      <c r="C14" s="36"/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I46" sqref="I46:L50"/>
    </sheetView>
  </sheetViews>
  <sheetFormatPr defaultRowHeight="16.149999999999999"/>
  <cols>
    <col min="1" max="1" width="22.19921875" bestFit="1" customWidth="1"/>
    <col min="2" max="3" width="17.19921875" bestFit="1" customWidth="1"/>
  </cols>
  <sheetData>
    <row r="1" spans="1:3" ht="19.05">
      <c r="A1" s="34" t="s">
        <v>252</v>
      </c>
      <c r="B1" s="34" t="s">
        <v>224</v>
      </c>
      <c r="C1" s="34" t="s">
        <v>226</v>
      </c>
    </row>
    <row r="2" spans="1:3">
      <c r="A2" s="35" t="s">
        <v>253</v>
      </c>
      <c r="B2" s="37" t="s">
        <v>254</v>
      </c>
      <c r="C2" s="37" t="s">
        <v>255</v>
      </c>
    </row>
    <row r="3" spans="1:3" ht="32.25">
      <c r="A3" s="35" t="s">
        <v>256</v>
      </c>
      <c r="B3" s="37" t="s">
        <v>257</v>
      </c>
      <c r="C3" s="37" t="s">
        <v>258</v>
      </c>
    </row>
    <row r="4" spans="1:3">
      <c r="A4" s="35" t="s">
        <v>259</v>
      </c>
      <c r="B4" s="37" t="s">
        <v>260</v>
      </c>
      <c r="C4" s="37" t="s">
        <v>230</v>
      </c>
    </row>
    <row r="5" spans="1:3">
      <c r="A5" s="35" t="s">
        <v>261</v>
      </c>
      <c r="B5" s="37" t="s">
        <v>262</v>
      </c>
      <c r="C5" s="37" t="s">
        <v>258</v>
      </c>
    </row>
    <row r="6" spans="1:3" ht="80.650000000000006">
      <c r="A6" s="35" t="s">
        <v>263</v>
      </c>
      <c r="B6" s="36" t="s">
        <v>244</v>
      </c>
      <c r="C6" s="36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6" sqref="C6:H6"/>
    </sheetView>
  </sheetViews>
  <sheetFormatPr defaultColWidth="30.09765625" defaultRowHeight="16.149999999999999"/>
  <cols>
    <col min="1" max="1" width="25.796875" bestFit="1" customWidth="1"/>
    <col min="2" max="2" width="24.8984375" bestFit="1" customWidth="1"/>
  </cols>
  <sheetData>
    <row r="1" spans="1:2" ht="38.6" customHeight="1" thickBot="1">
      <c r="A1" s="42" t="s">
        <v>188</v>
      </c>
      <c r="B1" s="43" t="s">
        <v>189</v>
      </c>
    </row>
    <row r="2" spans="1:2" ht="16.7" thickBot="1">
      <c r="A2" s="44" t="s">
        <v>177</v>
      </c>
      <c r="B2" s="45">
        <v>40</v>
      </c>
    </row>
    <row r="3" spans="1:2" ht="16.7" thickBot="1">
      <c r="A3" s="46" t="s">
        <v>178</v>
      </c>
      <c r="B3" s="45">
        <v>100</v>
      </c>
    </row>
    <row r="4" spans="1:2" ht="16.7" thickBot="1">
      <c r="A4" s="46" t="s">
        <v>179</v>
      </c>
      <c r="B4" s="45">
        <v>140</v>
      </c>
    </row>
    <row r="5" spans="1:2" ht="16.7" thickBot="1">
      <c r="A5" s="46" t="s">
        <v>180</v>
      </c>
      <c r="B5" s="45">
        <v>240</v>
      </c>
    </row>
    <row r="6" spans="1:2" ht="16.7" thickBot="1">
      <c r="A6" s="46" t="s">
        <v>181</v>
      </c>
      <c r="B6" s="45">
        <v>300</v>
      </c>
    </row>
  </sheetData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220" zoomScaleNormal="220" workbookViewId="0">
      <selection activeCell="I46" sqref="I46:L50"/>
    </sheetView>
  </sheetViews>
  <sheetFormatPr defaultRowHeight="16.149999999999999"/>
  <cols>
    <col min="1" max="1" width="16.59765625" bestFit="1" customWidth="1"/>
    <col min="2" max="2" width="6.09765625" bestFit="1" customWidth="1"/>
    <col min="3" max="3" width="23.5" bestFit="1" customWidth="1"/>
  </cols>
  <sheetData>
    <row r="1" spans="1:3">
      <c r="A1" t="s">
        <v>167</v>
      </c>
      <c r="B1" t="s">
        <v>149</v>
      </c>
      <c r="C1" t="s">
        <v>265</v>
      </c>
    </row>
    <row r="2" spans="1:3">
      <c r="A2" t="s">
        <v>148</v>
      </c>
      <c r="B2" t="s">
        <v>151</v>
      </c>
      <c r="C2" t="s">
        <v>152</v>
      </c>
    </row>
    <row r="3" spans="1:3">
      <c r="A3" t="s">
        <v>150</v>
      </c>
      <c r="C3" t="s">
        <v>154</v>
      </c>
    </row>
    <row r="4" spans="1:3">
      <c r="A4" t="s">
        <v>153</v>
      </c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zoomScale="190" zoomScaleNormal="190" workbookViewId="0">
      <selection activeCell="I46" sqref="I46:L50"/>
    </sheetView>
  </sheetViews>
  <sheetFormatPr defaultRowHeight="16.149999999999999"/>
  <cols>
    <col min="1" max="1" width="13.59765625" bestFit="1" customWidth="1"/>
    <col min="2" max="2" width="21.5" customWidth="1"/>
  </cols>
  <sheetData>
    <row r="1" spans="1:2">
      <c r="A1" t="s">
        <v>93</v>
      </c>
      <c r="B1" t="s">
        <v>134</v>
      </c>
    </row>
    <row r="2" spans="1:2">
      <c r="A2" t="s">
        <v>94</v>
      </c>
      <c r="B2" t="s">
        <v>135</v>
      </c>
    </row>
    <row r="3" spans="1:2">
      <c r="A3" t="s">
        <v>95</v>
      </c>
      <c r="B3" t="s">
        <v>136</v>
      </c>
    </row>
    <row r="4" spans="1:2">
      <c r="B4" t="s">
        <v>146</v>
      </c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C10" sqref="C10:H10"/>
    </sheetView>
  </sheetViews>
  <sheetFormatPr defaultRowHeight="16.149999999999999"/>
  <cols>
    <col min="1" max="1" width="5.19921875" customWidth="1"/>
    <col min="2" max="2" width="109.5" bestFit="1" customWidth="1"/>
    <col min="3" max="3" width="9.796875" style="30" bestFit="1" customWidth="1"/>
    <col min="4" max="4" width="10.8984375" style="30" bestFit="1" customWidth="1"/>
    <col min="5" max="5" width="19.3984375" style="30" bestFit="1" customWidth="1"/>
  </cols>
  <sheetData>
    <row r="1" spans="1:9">
      <c r="B1" s="22" t="s">
        <v>72</v>
      </c>
      <c r="C1" s="25" t="s">
        <v>74</v>
      </c>
      <c r="D1" s="25" t="s">
        <v>73</v>
      </c>
      <c r="E1" s="26" t="s">
        <v>4</v>
      </c>
    </row>
    <row r="2" spans="1:9">
      <c r="A2">
        <v>1</v>
      </c>
      <c r="B2" s="23" t="s">
        <v>70</v>
      </c>
      <c r="C2" s="27" t="s">
        <v>83</v>
      </c>
      <c r="D2" s="27" t="s">
        <v>83</v>
      </c>
      <c r="E2" s="27" t="s">
        <v>83</v>
      </c>
      <c r="G2" s="188" t="s">
        <v>107</v>
      </c>
      <c r="H2" s="188"/>
      <c r="I2" s="188"/>
    </row>
    <row r="3" spans="1:9">
      <c r="A3">
        <v>2</v>
      </c>
      <c r="B3" s="23" t="s">
        <v>56</v>
      </c>
      <c r="C3" s="29">
        <v>810</v>
      </c>
      <c r="D3" s="29">
        <v>1220</v>
      </c>
      <c r="E3" s="28" t="s">
        <v>76</v>
      </c>
      <c r="G3" s="188"/>
      <c r="H3" s="188"/>
      <c r="I3" s="188"/>
    </row>
    <row r="4" spans="1:9">
      <c r="A4">
        <v>3</v>
      </c>
      <c r="B4" s="23" t="s">
        <v>57</v>
      </c>
      <c r="C4" s="29">
        <v>1020</v>
      </c>
      <c r="D4" s="29">
        <v>1630</v>
      </c>
      <c r="E4" s="28" t="s">
        <v>76</v>
      </c>
      <c r="G4" s="188"/>
      <c r="H4" s="188"/>
      <c r="I4" s="188"/>
    </row>
    <row r="5" spans="1:9">
      <c r="A5">
        <v>4</v>
      </c>
      <c r="B5" s="23" t="s">
        <v>58</v>
      </c>
      <c r="C5" s="29">
        <v>680</v>
      </c>
      <c r="D5" s="29">
        <v>1020</v>
      </c>
      <c r="E5" s="28" t="s">
        <v>76</v>
      </c>
      <c r="G5" s="188"/>
      <c r="H5" s="188"/>
      <c r="I5" s="188"/>
    </row>
    <row r="6" spans="1:9">
      <c r="A6">
        <v>5</v>
      </c>
      <c r="B6" s="23" t="s">
        <v>59</v>
      </c>
      <c r="C6" s="29">
        <v>810</v>
      </c>
      <c r="D6" s="29">
        <v>1420</v>
      </c>
      <c r="E6" s="28" t="s">
        <v>76</v>
      </c>
    </row>
    <row r="7" spans="1:9">
      <c r="A7">
        <v>6</v>
      </c>
      <c r="B7" s="23" t="s">
        <v>64</v>
      </c>
      <c r="C7" s="29">
        <v>1020</v>
      </c>
      <c r="D7" s="29">
        <v>1630</v>
      </c>
      <c r="E7" s="28" t="s">
        <v>76</v>
      </c>
    </row>
    <row r="8" spans="1:9">
      <c r="A8">
        <v>7</v>
      </c>
      <c r="B8" s="23" t="s">
        <v>60</v>
      </c>
      <c r="C8" s="29">
        <v>300</v>
      </c>
      <c r="D8" s="29">
        <v>410</v>
      </c>
      <c r="E8" s="28" t="s">
        <v>76</v>
      </c>
    </row>
    <row r="9" spans="1:9">
      <c r="A9">
        <v>8</v>
      </c>
      <c r="B9" s="23" t="s">
        <v>61</v>
      </c>
      <c r="C9" s="29">
        <v>410</v>
      </c>
      <c r="D9" s="29">
        <v>680</v>
      </c>
      <c r="E9" s="28" t="s">
        <v>76</v>
      </c>
    </row>
    <row r="10" spans="1:9">
      <c r="A10">
        <v>9</v>
      </c>
      <c r="B10" s="23" t="s">
        <v>62</v>
      </c>
      <c r="C10" s="29">
        <v>135</v>
      </c>
      <c r="D10" s="29">
        <v>200</v>
      </c>
      <c r="E10" s="28" t="s">
        <v>38</v>
      </c>
    </row>
    <row r="11" spans="1:9">
      <c r="A11">
        <v>10</v>
      </c>
      <c r="B11" s="23" t="s">
        <v>65</v>
      </c>
      <c r="C11" s="29">
        <v>270</v>
      </c>
      <c r="D11" s="29">
        <v>1080</v>
      </c>
      <c r="E11" s="28" t="s">
        <v>38</v>
      </c>
    </row>
    <row r="12" spans="1:9">
      <c r="A12">
        <v>11</v>
      </c>
      <c r="B12" s="23" t="s">
        <v>66</v>
      </c>
      <c r="C12" s="29">
        <v>1360</v>
      </c>
      <c r="D12" s="29">
        <v>4060</v>
      </c>
      <c r="E12" s="28" t="s">
        <v>38</v>
      </c>
    </row>
    <row r="13" spans="1:9">
      <c r="A13">
        <v>12</v>
      </c>
      <c r="B13" s="23" t="s">
        <v>63</v>
      </c>
      <c r="C13" s="29">
        <v>2700</v>
      </c>
      <c r="D13" s="29">
        <v>8110</v>
      </c>
      <c r="E13" s="28" t="s">
        <v>38</v>
      </c>
    </row>
    <row r="14" spans="1:9">
      <c r="A14">
        <v>13</v>
      </c>
      <c r="B14" s="23" t="s">
        <v>67</v>
      </c>
      <c r="C14" s="29">
        <v>5405</v>
      </c>
      <c r="D14" s="29">
        <v>20280</v>
      </c>
      <c r="E14" s="28" t="s">
        <v>38</v>
      </c>
    </row>
    <row r="15" spans="1:9">
      <c r="A15">
        <v>14</v>
      </c>
      <c r="B15" s="23" t="s">
        <v>68</v>
      </c>
      <c r="C15" s="29">
        <v>1080</v>
      </c>
      <c r="D15" s="29">
        <v>3240</v>
      </c>
      <c r="E15" s="28" t="s">
        <v>77</v>
      </c>
    </row>
    <row r="16" spans="1:9">
      <c r="A16">
        <v>15</v>
      </c>
      <c r="B16" s="23" t="s">
        <v>69</v>
      </c>
      <c r="C16" s="29">
        <v>4060</v>
      </c>
      <c r="D16" s="29">
        <v>13510</v>
      </c>
      <c r="E16" s="28" t="s">
        <v>78</v>
      </c>
    </row>
    <row r="17" spans="1:5">
      <c r="A17">
        <v>16</v>
      </c>
      <c r="B17" s="23" t="s">
        <v>84</v>
      </c>
      <c r="C17" s="27">
        <v>0.05</v>
      </c>
      <c r="D17" s="27">
        <f>0.1</f>
        <v>0.1</v>
      </c>
      <c r="E17" s="28" t="s">
        <v>85</v>
      </c>
    </row>
    <row r="18" spans="1:5">
      <c r="A18">
        <v>17</v>
      </c>
      <c r="B18" s="23" t="s">
        <v>81</v>
      </c>
      <c r="C18" s="27">
        <v>200</v>
      </c>
      <c r="D18" s="27">
        <v>200</v>
      </c>
      <c r="E18" s="28" t="s">
        <v>75</v>
      </c>
    </row>
    <row r="19" spans="1:5">
      <c r="A19">
        <v>18</v>
      </c>
      <c r="B19" s="23" t="s">
        <v>79</v>
      </c>
      <c r="C19" s="27">
        <v>810</v>
      </c>
      <c r="D19" s="27">
        <v>810</v>
      </c>
      <c r="E19" s="28" t="s">
        <v>78</v>
      </c>
    </row>
    <row r="20" spans="1:5">
      <c r="A20">
        <v>19</v>
      </c>
      <c r="B20" s="23" t="s">
        <v>82</v>
      </c>
      <c r="C20" s="27">
        <v>250</v>
      </c>
      <c r="D20" s="27">
        <v>250</v>
      </c>
      <c r="E20" s="28" t="s">
        <v>76</v>
      </c>
    </row>
    <row r="21" spans="1:5">
      <c r="A21">
        <v>20</v>
      </c>
      <c r="B21" s="23" t="s">
        <v>80</v>
      </c>
      <c r="C21" s="27">
        <v>1220</v>
      </c>
      <c r="D21" s="27">
        <v>1220</v>
      </c>
      <c r="E21" s="28" t="s">
        <v>78</v>
      </c>
    </row>
    <row r="22" spans="1:5" ht="16.7" thickBot="1">
      <c r="A22">
        <v>21</v>
      </c>
      <c r="B22" s="24" t="s">
        <v>71</v>
      </c>
      <c r="C22" s="27" t="s">
        <v>83</v>
      </c>
      <c r="D22" s="27" t="s">
        <v>83</v>
      </c>
      <c r="E22" s="27" t="s">
        <v>83</v>
      </c>
    </row>
  </sheetData>
  <mergeCells count="1">
    <mergeCell ref="G2:I5"/>
  </mergeCells>
  <phoneticPr fontId="5" type="noConversion"/>
  <hyperlinks>
    <hyperlink ref="G2:I5" location="經費試算表!A1" display="回經費試算表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5" zoomScaleNormal="115" workbookViewId="0">
      <selection activeCell="C5" sqref="C5"/>
    </sheetView>
  </sheetViews>
  <sheetFormatPr defaultColWidth="8.69921875" defaultRowHeight="16.149999999999999"/>
  <cols>
    <col min="1" max="1" width="14.59765625" style="1" bestFit="1" customWidth="1"/>
    <col min="2" max="2" width="13.8984375" style="1" bestFit="1" customWidth="1"/>
    <col min="3" max="5" width="10" style="1" bestFit="1" customWidth="1"/>
    <col min="6" max="6" width="23.69921875" style="1" bestFit="1" customWidth="1"/>
    <col min="7" max="7" width="5.8984375" style="1" bestFit="1" customWidth="1"/>
    <col min="8" max="8" width="14.69921875" style="1" bestFit="1" customWidth="1"/>
    <col min="9" max="16384" width="8.69921875" style="1"/>
  </cols>
  <sheetData>
    <row r="1" spans="1:6" ht="23.05">
      <c r="A1" s="7" t="s">
        <v>14</v>
      </c>
    </row>
    <row r="4" spans="1:6" ht="17.850000000000001">
      <c r="A4" s="8" t="s">
        <v>15</v>
      </c>
      <c r="B4" s="9" t="s">
        <v>16</v>
      </c>
      <c r="C4" s="10" t="s">
        <v>17</v>
      </c>
      <c r="D4" s="10" t="s">
        <v>18</v>
      </c>
      <c r="E4" s="10" t="s">
        <v>19</v>
      </c>
      <c r="F4" s="10" t="s">
        <v>20</v>
      </c>
    </row>
    <row r="5" spans="1:6" ht="17.850000000000001">
      <c r="A5" s="11">
        <v>12541</v>
      </c>
      <c r="B5" s="12">
        <f>LOOKUP(A5,級距表!A5:A14,級距表!C5:C14)</f>
        <v>13500</v>
      </c>
      <c r="C5" s="13">
        <f>LOOKUP(A5,級距表!A5:A14,級距表!D5:D14)</f>
        <v>1169</v>
      </c>
      <c r="D5" s="13">
        <f>LOOKUP(A5,級距表!A5:A14,級距表!E5:E14)</f>
        <v>810</v>
      </c>
      <c r="E5" s="13">
        <f>ROUND(A5*2.11%,0)</f>
        <v>265</v>
      </c>
      <c r="F5" s="14">
        <f>C5+D5+E5</f>
        <v>2244</v>
      </c>
    </row>
    <row r="6" spans="1:6" ht="17.850000000000001">
      <c r="A6" s="15" t="s">
        <v>21</v>
      </c>
      <c r="B6" s="16"/>
    </row>
    <row r="7" spans="1:6">
      <c r="E7" s="17" t="s">
        <v>22</v>
      </c>
      <c r="F7" s="17" t="s">
        <v>23</v>
      </c>
    </row>
    <row r="8" spans="1:6">
      <c r="E8" s="18">
        <v>1</v>
      </c>
      <c r="F8" s="19">
        <f>(F5+A5)</f>
        <v>14785</v>
      </c>
    </row>
    <row r="10" spans="1:6">
      <c r="A10" s="1" t="s">
        <v>24</v>
      </c>
    </row>
    <row r="11" spans="1:6" ht="16.149999999999999" customHeight="1">
      <c r="A11" s="189" t="s">
        <v>25</v>
      </c>
      <c r="B11" s="190" t="s">
        <v>26</v>
      </c>
      <c r="C11" s="189" t="s">
        <v>27</v>
      </c>
    </row>
    <row r="12" spans="1:6">
      <c r="A12" s="189"/>
      <c r="B12" s="191"/>
      <c r="C12" s="189"/>
    </row>
    <row r="13" spans="1:6">
      <c r="A13" s="20">
        <v>160</v>
      </c>
      <c r="B13" s="21">
        <v>40</v>
      </c>
      <c r="C13" s="20">
        <f>A13*B13</f>
        <v>6400</v>
      </c>
    </row>
    <row r="14" spans="1:6" ht="17.850000000000001">
      <c r="B14" s="15" t="s">
        <v>28</v>
      </c>
    </row>
  </sheetData>
  <mergeCells count="3">
    <mergeCell ref="A11:A12"/>
    <mergeCell ref="B11:B12"/>
    <mergeCell ref="C11:C12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已命名的範圍</vt:lpstr>
      </vt:variant>
      <vt:variant>
        <vt:i4>1</vt:i4>
      </vt:variant>
    </vt:vector>
  </HeadingPairs>
  <TitlesOfParts>
    <vt:vector size="12" baseType="lpstr">
      <vt:lpstr>使用說明</vt:lpstr>
      <vt:lpstr>經費試算表</vt:lpstr>
      <vt:lpstr>稿費</vt:lpstr>
      <vt:lpstr>審查費</vt:lpstr>
      <vt:lpstr>膳食費</vt:lpstr>
      <vt:lpstr>資料驗證</vt:lpstr>
      <vt:lpstr>投保身分</vt:lpstr>
      <vt:lpstr>稿費基準</vt:lpstr>
      <vt:lpstr>試算</vt:lpstr>
      <vt:lpstr>工作表4</vt:lpstr>
      <vt:lpstr>級距表</vt:lpstr>
      <vt:lpstr>經費試算表!Print_Area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111年教學實踐申請經費試算</dc:title>
  <dc:creator/>
  <cp:lastModifiedBy/>
  <dcterms:created xsi:type="dcterms:W3CDTF">2006-09-16T00:00:00Z</dcterms:created>
  <dcterms:modified xsi:type="dcterms:W3CDTF">2023-07-17T02:35:45Z</dcterms:modified>
</cp:coreProperties>
</file>