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showInkAnnotation="0" defaultThemeVersion="124226"/>
  <xr:revisionPtr revIDLastSave="0" documentId="13_ncr:1_{B20204F7-B1F9-424F-A561-CD08AB0AC0C6}" xr6:coauthVersionLast="47" xr6:coauthVersionMax="47" xr10:uidLastSave="{00000000-0000-0000-0000-000000000000}"/>
  <bookViews>
    <workbookView xWindow="22932" yWindow="-108" windowWidth="23256" windowHeight="12456" firstSheet="5" activeTab="5" xr2:uid="{84E06647-017E-48A8-A3D2-510267570211}"/>
  </bookViews>
  <sheets>
    <sheet name="稿費" sheetId="12" state="hidden" r:id="rId1"/>
    <sheet name="審查費" sheetId="13" state="hidden" r:id="rId2"/>
    <sheet name="稿費基準" sheetId="5" state="hidden" r:id="rId3"/>
    <sheet name="試算" sheetId="3" state="hidden" r:id="rId4"/>
    <sheet name="工作表4" sheetId="4" state="hidden" r:id="rId5"/>
    <sheet name="使用說明" sheetId="15" r:id="rId6"/>
    <sheet name="計算表" sheetId="16" r:id="rId7"/>
    <sheet name="資料驗證" sheetId="9" state="hidden" r:id="rId8"/>
    <sheet name="級距表" sheetId="2" state="hidden" r:id="rId9"/>
    <sheet name="膳食費" sheetId="10" state="hidden" r:id="rId10"/>
  </sheets>
  <definedNames>
    <definedName name="_xlnm._FilterDatabase" localSheetId="8" hidden="1">級距表!$A$2:$E$2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6" l="1"/>
  <c r="E53" i="16" s="1"/>
  <c r="C29" i="16"/>
  <c r="B9" i="16"/>
  <c r="B74" i="16"/>
  <c r="G76" i="16"/>
  <c r="G18" i="16"/>
  <c r="E18" i="16"/>
  <c r="G40" i="16"/>
  <c r="G37" i="16"/>
  <c r="C23" i="16"/>
  <c r="E21" i="16" s="1"/>
  <c r="G21" i="16" s="1"/>
  <c r="B15" i="16" s="1"/>
  <c r="B7" i="16" s="1"/>
  <c r="G33" i="16"/>
  <c r="G34" i="16"/>
  <c r="G35" i="16"/>
  <c r="G36" i="16"/>
  <c r="G43" i="16"/>
  <c r="G50" i="16"/>
  <c r="G61" i="16"/>
  <c r="G78" i="16"/>
  <c r="C9" i="16"/>
  <c r="G77" i="16"/>
  <c r="B62" i="16"/>
  <c r="F38" i="16"/>
  <c r="F41" i="16"/>
  <c r="C41" i="16"/>
  <c r="H40" i="16" s="1"/>
  <c r="C38" i="16"/>
  <c r="H37" i="16" s="1"/>
  <c r="C56" i="16"/>
  <c r="F54" i="16"/>
  <c r="D54" i="16"/>
  <c r="D29" i="16"/>
  <c r="E29" i="16"/>
  <c r="D28" i="16"/>
  <c r="C28" i="16"/>
  <c r="E26" i="16"/>
  <c r="E20" i="16"/>
  <c r="C22" i="16"/>
  <c r="D23" i="16"/>
  <c r="D22" i="16"/>
  <c r="H18" i="16"/>
  <c r="E23" i="16"/>
  <c r="F53" i="16" l="1"/>
  <c r="D53" i="16"/>
  <c r="H21" i="16"/>
  <c r="G48" i="16"/>
  <c r="G52" i="16"/>
  <c r="B31" i="16" s="1"/>
  <c r="B8" i="16" s="1"/>
  <c r="B10" i="16" s="1"/>
  <c r="H50" i="16"/>
  <c r="H52" i="16"/>
  <c r="E27" i="16"/>
  <c r="H27" i="16" s="1"/>
  <c r="G27" i="16" l="1"/>
  <c r="B12" i="16" s="1"/>
  <c r="D17" i="5"/>
  <c r="C7" i="16" l="1"/>
  <c r="D5" i="3"/>
  <c r="C5" i="3"/>
  <c r="B5" i="3"/>
  <c r="C13" i="3"/>
  <c r="E5" i="3"/>
  <c r="C10" i="16" l="1"/>
  <c r="F5" i="3"/>
  <c r="F8" i="3" s="1"/>
</calcChain>
</file>

<file path=xl/sharedStrings.xml><?xml version="1.0" encoding="utf-8"?>
<sst xmlns="http://schemas.openxmlformats.org/spreadsheetml/2006/main" count="327" uniqueCount="212">
  <si>
    <t>請選擇基準類別</t>
    <phoneticPr fontId="5" type="noConversion"/>
  </si>
  <si>
    <t>對應計價方式</t>
    <phoneticPr fontId="5" type="noConversion"/>
  </si>
  <si>
    <t>對應計算單位</t>
    <phoneticPr fontId="5" type="noConversion"/>
  </si>
  <si>
    <t>撰稿(一般稿件：中文)</t>
    <phoneticPr fontId="5" type="noConversion"/>
  </si>
  <si>
    <t>1,100元至1,600元</t>
    <phoneticPr fontId="5" type="noConversion"/>
  </si>
  <si>
    <t>每千字</t>
    <phoneticPr fontId="5" type="noConversion"/>
  </si>
  <si>
    <t>撰稿(特別稿件)(中文)-每千字</t>
    <phoneticPr fontId="5" type="noConversion"/>
  </si>
  <si>
    <t>1,600元至3,000元</t>
    <phoneticPr fontId="5" type="noConversion"/>
  </si>
  <si>
    <t>撰稿(特別稿件)(中文)-每件</t>
    <phoneticPr fontId="5" type="noConversion"/>
  </si>
  <si>
    <t>2,000元至6,400元</t>
    <phoneticPr fontId="5" type="noConversion"/>
  </si>
  <si>
    <t>每件</t>
    <phoneticPr fontId="5" type="noConversion"/>
  </si>
  <si>
    <t>撰稿(特別稿件)(外文)-每千字</t>
    <phoneticPr fontId="5" type="noConversion"/>
  </si>
  <si>
    <t>1,020元至1,630元</t>
    <phoneticPr fontId="5" type="noConversion"/>
  </si>
  <si>
    <t>每千字</t>
  </si>
  <si>
    <t>撰稿(特別稿件)(外文)-每件</t>
    <phoneticPr fontId="5" type="noConversion"/>
  </si>
  <si>
    <t>3,000元至8,000元</t>
    <phoneticPr fontId="5" type="noConversion"/>
  </si>
  <si>
    <t>校對費</t>
    <phoneticPr fontId="5" type="noConversion"/>
  </si>
  <si>
    <t>稿費之5%至10%</t>
    <phoneticPr fontId="5" type="noConversion"/>
  </si>
  <si>
    <t>至10%</t>
  </si>
  <si>
    <t>譯稿</t>
    <phoneticPr fontId="5" type="noConversion"/>
  </si>
  <si>
    <t>由各機關學校依政府採購法相關規定，或本於權責自訂基準辦理。</t>
    <phoneticPr fontId="5" type="noConversion"/>
  </si>
  <si>
    <t>潤稿</t>
    <phoneticPr fontId="5" type="noConversion"/>
  </si>
  <si>
    <t>潤稿支給，僅限極為專業之譯稿，至其是否屬極為專業之譯稿，由各機關學校本於權責自行衡酌辦理。</t>
    <phoneticPr fontId="5" type="noConversion"/>
  </si>
  <si>
    <t>整冊書籍濃縮</t>
    <phoneticPr fontId="5" type="noConversion"/>
  </si>
  <si>
    <t>編稿</t>
    <phoneticPr fontId="5" type="noConversion"/>
  </si>
  <si>
    <t>圖片使用</t>
    <phoneticPr fontId="5" type="noConversion"/>
  </si>
  <si>
    <t>圖片版權</t>
    <phoneticPr fontId="5" type="noConversion"/>
  </si>
  <si>
    <t>設計完稿</t>
    <phoneticPr fontId="5" type="noConversion"/>
  </si>
  <si>
    <t>審查(中文)(每千字)</t>
    <phoneticPr fontId="5" type="noConversion"/>
  </si>
  <si>
    <t>300元至380元</t>
    <phoneticPr fontId="5" type="noConversion"/>
  </si>
  <si>
    <t>審查(中文)(每件)</t>
    <phoneticPr fontId="5" type="noConversion"/>
  </si>
  <si>
    <t>1,220元至1,830元</t>
    <phoneticPr fontId="5" type="noConversion"/>
  </si>
  <si>
    <t>每件</t>
  </si>
  <si>
    <t>審查(外文)(每千字)</t>
    <phoneticPr fontId="5" type="noConversion"/>
  </si>
  <si>
    <t>380元</t>
    <phoneticPr fontId="5" type="noConversion"/>
  </si>
  <si>
    <t>審查(外文)(每件)</t>
    <phoneticPr fontId="5" type="noConversion"/>
  </si>
  <si>
    <t>1,830元</t>
    <phoneticPr fontId="5" type="noConversion"/>
  </si>
  <si>
    <t>審查-圖片</t>
    <phoneticPr fontId="5" type="noConversion"/>
  </si>
  <si>
    <t>項目</t>
    <phoneticPr fontId="5" type="noConversion"/>
  </si>
  <si>
    <t>基準下限</t>
    <phoneticPr fontId="5" type="noConversion"/>
  </si>
  <si>
    <t>基準上限</t>
    <phoneticPr fontId="5" type="noConversion"/>
  </si>
  <si>
    <t>單位</t>
    <phoneticPr fontId="5" type="noConversion"/>
  </si>
  <si>
    <t>譯稿及潤稿(公開市場機制，不另訂基準。潤稿支給僅限極為專業之譯稿，由機關學校本於權責自行斟酌辦理)</t>
    <phoneticPr fontId="5" type="noConversion"/>
  </si>
  <si>
    <t>無基準</t>
    <phoneticPr fontId="5" type="noConversion"/>
  </si>
  <si>
    <t>回經費試算表</t>
    <phoneticPr fontId="5" type="noConversion"/>
  </si>
  <si>
    <t>整冊書籍濃縮(外文譯中文，810-1220/每千字，以中文計)</t>
    <phoneticPr fontId="5" type="noConversion"/>
  </si>
  <si>
    <t>整冊書籍濃縮(中文譯外文，1020~1630/每千字，以外文計)</t>
    <phoneticPr fontId="5" type="noConversion"/>
  </si>
  <si>
    <t>撰稿(一般稿件：中文，680-1020/每千字)</t>
    <phoneticPr fontId="5" type="noConversion"/>
  </si>
  <si>
    <t>撰稿(特別稿件：中文，810-1420/每千字，一般或特別稿件由機關學校自行認定)</t>
    <phoneticPr fontId="5" type="noConversion"/>
  </si>
  <si>
    <t>撰稿(特別稿件：中文，1020-1630/每千字，一般或特別稿件由機關學校自行認定)</t>
    <phoneticPr fontId="5" type="noConversion"/>
  </si>
  <si>
    <t>編稿(文字稿：中文，300-410/每千字)</t>
    <phoneticPr fontId="5" type="noConversion"/>
  </si>
  <si>
    <t>編稿(文字稿：外文，410-680/每千字)</t>
    <phoneticPr fontId="5" type="noConversion"/>
  </si>
  <si>
    <t>編稿(圖片稿：135-200/每張)</t>
    <phoneticPr fontId="5" type="noConversion"/>
  </si>
  <si>
    <t>每張</t>
    <phoneticPr fontId="5" type="noConversion"/>
  </si>
  <si>
    <t>圖片使用(一般稿件：270-1080/每張，一般或特別稿件由機關學校自行認定)</t>
    <phoneticPr fontId="5" type="noConversion"/>
  </si>
  <si>
    <t>圖片使用(專業稿件：1360-4060/每張，一般或特別稿件由機關學校自行認定)</t>
    <phoneticPr fontId="5" type="noConversion"/>
  </si>
  <si>
    <t>圖片版權(2700-8110/每張)</t>
    <phoneticPr fontId="5" type="noConversion"/>
  </si>
  <si>
    <t>設計完稿(海報：5405-20280/每張)</t>
    <phoneticPr fontId="5" type="noConversion"/>
  </si>
  <si>
    <t>設計完稿(宣傳摺頁：1080-3240/每頁)</t>
    <phoneticPr fontId="5" type="noConversion"/>
  </si>
  <si>
    <t>每頁</t>
    <phoneticPr fontId="5" type="noConversion"/>
  </si>
  <si>
    <t>設計完稿(宣傳摺頁：4060-13510/每件)</t>
    <phoneticPr fontId="5" type="noConversion"/>
  </si>
  <si>
    <t>校對(撰稿費之5%~10%)</t>
    <phoneticPr fontId="5" type="noConversion"/>
  </si>
  <si>
    <t>(撰稿費之5%~10%)</t>
    <phoneticPr fontId="5" type="noConversion"/>
  </si>
  <si>
    <t>審查(中文：200/每千字)</t>
    <phoneticPr fontId="5" type="noConversion"/>
  </si>
  <si>
    <t>審查(中文：810/每件)</t>
    <phoneticPr fontId="5" type="noConversion"/>
  </si>
  <si>
    <t>審查(外文：250/每千字)</t>
    <phoneticPr fontId="5" type="noConversion"/>
  </si>
  <si>
    <t>審查(外文：1220/每件)</t>
    <phoneticPr fontId="5" type="noConversion"/>
  </si>
  <si>
    <t>審查(圖片、海報、宣傳摺頁等：由機關學校本於權責自行衡酌辦理，不訂定基準)</t>
    <phoneticPr fontId="5" type="noConversion"/>
  </si>
  <si>
    <t>薪資試算</t>
    <phoneticPr fontId="5" type="noConversion"/>
  </si>
  <si>
    <t>薪資</t>
  </si>
  <si>
    <t>級距</t>
  </si>
  <si>
    <t>雇主勞保</t>
    <phoneticPr fontId="5" type="noConversion"/>
  </si>
  <si>
    <t>雇主勞退</t>
    <phoneticPr fontId="5" type="noConversion"/>
  </si>
  <si>
    <t>補充保費</t>
    <phoneticPr fontId="5" type="noConversion"/>
  </si>
  <si>
    <t>每月勞保退及補充保費</t>
    <phoneticPr fontId="5" type="noConversion"/>
  </si>
  <si>
    <t>請填寫薪資</t>
  </si>
  <si>
    <t>月數</t>
    <phoneticPr fontId="5" type="noConversion"/>
  </si>
  <si>
    <t>執行期間總計</t>
    <phoneticPr fontId="5" type="noConversion"/>
  </si>
  <si>
    <t>時薪換算</t>
    <phoneticPr fontId="5" type="noConversion"/>
  </si>
  <si>
    <t>時薪</t>
    <phoneticPr fontId="5" type="noConversion"/>
  </si>
  <si>
    <t>每月
工讀時數</t>
    <phoneticPr fontId="5" type="noConversion"/>
  </si>
  <si>
    <t>每月薪資</t>
    <phoneticPr fontId="5" type="noConversion"/>
  </si>
  <si>
    <t>請填寫時數</t>
    <phoneticPr fontId="5" type="noConversion"/>
  </si>
  <si>
    <t>稿費</t>
    <phoneticPr fontId="5" type="noConversion"/>
  </si>
  <si>
    <t>使用說明</t>
    <phoneticPr fontId="5" type="noConversion"/>
  </si>
  <si>
    <t>1.編列經費請詳閱「113年度教育部教學實踐研究計畫經費編列指引」。</t>
    <phoneticPr fontId="5" type="noConversion"/>
  </si>
  <si>
    <t>下載編列指引</t>
    <phoneticPr fontId="5" type="noConversion"/>
  </si>
  <si>
    <t>2.本表僅用於協助教師規劃及查詢經費計算方式，部分欄位有自動匯算或文字組合函數：</t>
    <phoneticPr fontId="5" type="noConversion"/>
  </si>
  <si>
    <t>藍色欄位必要輸入項目，請輸入數字或選擇項目。</t>
    <phoneticPr fontId="5" type="noConversion"/>
  </si>
  <si>
    <t>紫色欄位輔助項目，可查詢費用支付基準。</t>
    <phoneticPr fontId="5" type="noConversion"/>
  </si>
  <si>
    <t>113年度經費自動試算表-&gt;</t>
    <phoneticPr fontId="5" type="noConversion"/>
  </si>
  <si>
    <t>前往</t>
    <phoneticPr fontId="5" type="noConversion"/>
  </si>
  <si>
    <t>經費試算表</t>
    <phoneticPr fontId="5" type="noConversion"/>
  </si>
  <si>
    <t>申請補助經費</t>
    <phoneticPr fontId="5" type="noConversion"/>
  </si>
  <si>
    <t xml:space="preserve">執行年次 2023-08-01~2024-07-31	</t>
    <phoneticPr fontId="5" type="noConversion"/>
  </si>
  <si>
    <t>單位：新台幣</t>
    <phoneticPr fontId="5" type="noConversion"/>
  </si>
  <si>
    <t>小計</t>
    <phoneticPr fontId="5" type="noConversion"/>
  </si>
  <si>
    <t>注意事項</t>
    <phoneticPr fontId="5" type="noConversion"/>
  </si>
  <si>
    <t>人事費</t>
    <phoneticPr fontId="5" type="noConversion"/>
  </si>
  <si>
    <t>業務費</t>
    <phoneticPr fontId="5" type="noConversion"/>
  </si>
  <si>
    <t>設備費</t>
    <phoneticPr fontId="5" type="noConversion"/>
  </si>
  <si>
    <t xml:space="preserve">合計	</t>
    <phoneticPr fontId="5" type="noConversion"/>
  </si>
  <si>
    <t>人事費(博士生)
獨立專款</t>
    <phoneticPr fontId="5" type="noConversion"/>
  </si>
  <si>
    <t>計畫主持人費</t>
  </si>
  <si>
    <t>支付標準</t>
    <phoneticPr fontId="5" type="noConversion"/>
  </si>
  <si>
    <t>每月費用</t>
    <phoneticPr fontId="5" type="noConversion"/>
  </si>
  <si>
    <t>雇主負擔
補充保費(2.11%)</t>
    <phoneticPr fontId="5" type="noConversion"/>
  </si>
  <si>
    <t>說明</t>
    <phoneticPr fontId="5" type="noConversion"/>
  </si>
  <si>
    <t>5,000~12,000元(每月)</t>
    <phoneticPr fontId="5" type="noConversion"/>
  </si>
  <si>
    <t>兼任行政助理費</t>
    <phoneticPr fontId="5" type="noConversion"/>
  </si>
  <si>
    <t>3000~5000元(每月)</t>
    <phoneticPr fontId="5" type="noConversion"/>
  </si>
  <si>
    <t>投保身分</t>
    <phoneticPr fontId="5" type="noConversion"/>
  </si>
  <si>
    <t>勞僱型兼任助理</t>
  </si>
  <si>
    <t>博士生增額補助</t>
    <phoneticPr fontId="5" type="noConversion"/>
  </si>
  <si>
    <t>設定單價</t>
    <phoneticPr fontId="5" type="noConversion"/>
  </si>
  <si>
    <t>數量</t>
    <phoneticPr fontId="5" type="noConversion"/>
  </si>
  <si>
    <t>出席費</t>
    <phoneticPr fontId="5" type="noConversion"/>
  </si>
  <si>
    <t>單次
1,000~2,500元</t>
    <phoneticPr fontId="5" type="noConversion"/>
  </si>
  <si>
    <t>元/次</t>
    <phoneticPr fontId="5" type="noConversion"/>
  </si>
  <si>
    <t>次</t>
    <phoneticPr fontId="5" type="noConversion"/>
  </si>
  <si>
    <t>諮詢費</t>
    <phoneticPr fontId="5" type="noConversion"/>
  </si>
  <si>
    <t>輔導費</t>
    <phoneticPr fontId="5" type="noConversion"/>
  </si>
  <si>
    <t>指導費</t>
    <phoneticPr fontId="5" type="noConversion"/>
  </si>
  <si>
    <t>計價方式</t>
    <phoneticPr fontId="5" type="noConversion"/>
  </si>
  <si>
    <t>計算單位</t>
    <phoneticPr fontId="5" type="noConversion"/>
  </si>
  <si>
    <t>請選擇基準類別</t>
  </si>
  <si>
    <t>校外專家或獨立作業者</t>
  </si>
  <si>
    <t>請輸入單價</t>
    <phoneticPr fontId="5" type="noConversion"/>
  </si>
  <si>
    <t>輸入數量</t>
    <phoneticPr fontId="5" type="noConversion"/>
  </si>
  <si>
    <t>審查費</t>
    <phoneticPr fontId="5" type="noConversion"/>
  </si>
  <si>
    <t>專業翻譯社/公司</t>
  </si>
  <si>
    <t>講座鐘點費</t>
    <phoneticPr fontId="5" type="noConversion"/>
  </si>
  <si>
    <t>國外聘請 2,400元/小時</t>
    <phoneticPr fontId="5" type="noConversion"/>
  </si>
  <si>
    <t>元/小時</t>
    <phoneticPr fontId="5" type="noConversion"/>
  </si>
  <si>
    <t>小時</t>
    <phoneticPr fontId="5" type="noConversion"/>
  </si>
  <si>
    <t>國內專家 2,000元/小時</t>
    <phoneticPr fontId="5" type="noConversion"/>
  </si>
  <si>
    <t>本校教師 1,000元/小時</t>
    <phoneticPr fontId="5" type="noConversion"/>
  </si>
  <si>
    <t>教材費</t>
    <phoneticPr fontId="5" type="noConversion"/>
  </si>
  <si>
    <t>講座鐘點費
之70%</t>
    <phoneticPr fontId="5" type="noConversion"/>
  </si>
  <si>
    <t>(支應學生購買實作材料，或製作教具之材料，請編到材料費)</t>
    <phoneticPr fontId="5" type="noConversion"/>
  </si>
  <si>
    <t>全民健康保險
補充保費</t>
    <phoneticPr fontId="5" type="noConversion"/>
  </si>
  <si>
    <t>以上給付自然人之報酬，依二代健保規定另編2.11%雇主負擔補充保費。</t>
    <phoneticPr fontId="5" type="noConversion"/>
  </si>
  <si>
    <t>本計畫支應專家、講師報酬,另計算全民健康保險補充保費。</t>
    <phoneticPr fontId="5" type="noConversion"/>
  </si>
  <si>
    <t>獎金</t>
    <phoneticPr fontId="5" type="noConversion"/>
  </si>
  <si>
    <t>獎項</t>
    <phoneticPr fontId="5" type="noConversion"/>
  </si>
  <si>
    <t>得獎名額</t>
    <phoneticPr fontId="5" type="noConversion"/>
  </si>
  <si>
    <t>工讀金</t>
    <phoneticPr fontId="5" type="noConversion"/>
  </si>
  <si>
    <t>自113年1月1日起
183元 / 每小時</t>
  </si>
  <si>
    <t>每月工時</t>
    <phoneticPr fontId="5" type="noConversion"/>
  </si>
  <si>
    <t>聘期(月)</t>
    <phoneticPr fontId="5" type="noConversion"/>
  </si>
  <si>
    <t>換算每月薪資</t>
    <phoneticPr fontId="5" type="noConversion"/>
  </si>
  <si>
    <t>聘僱人數</t>
    <phoneticPr fontId="5" type="noConversion"/>
  </si>
  <si>
    <t>臨時工讀生
勞保、勞退
及補充保費</t>
    <phoneticPr fontId="5" type="noConversion"/>
  </si>
  <si>
    <t>依前項工讀金每月薪資對應級距計算相關費用。</t>
    <phoneticPr fontId="5" type="noConversion"/>
  </si>
  <si>
    <t>勞保</t>
    <phoneticPr fontId="5" type="noConversion"/>
  </si>
  <si>
    <t>勞退</t>
  </si>
  <si>
    <t>雇主負擔
補充保費</t>
    <phoneticPr fontId="5" type="noConversion"/>
  </si>
  <si>
    <t>印刷費</t>
  </si>
  <si>
    <t>核實報銷</t>
    <phoneticPr fontId="5" type="noConversion"/>
  </si>
  <si>
    <t>資料蒐集費</t>
    <phoneticPr fontId="5" type="noConversion"/>
  </si>
  <si>
    <r>
      <t xml:space="preserve">核實報銷，總額不得超過30,000元
</t>
    </r>
    <r>
      <rPr>
        <sz val="12"/>
        <color rgb="FFFF0000"/>
        <rFont val="微軟正黑體"/>
        <family val="2"/>
        <charset val="136"/>
      </rPr>
      <t>請自行斟酌</t>
    </r>
    <phoneticPr fontId="5" type="noConversion"/>
  </si>
  <si>
    <t>資料檢索費</t>
    <phoneticPr fontId="5" type="noConversion"/>
  </si>
  <si>
    <t>核實報支</t>
    <phoneticPr fontId="5" type="noConversion"/>
  </si>
  <si>
    <t>國內旅費、
車資、運費</t>
    <phoneticPr fontId="5" type="noConversion"/>
  </si>
  <si>
    <t>高鐵時刻表與票價查詢</t>
    <phoneticPr fontId="5" type="noConversion"/>
  </si>
  <si>
    <t>學者/專家
交通費</t>
    <phoneticPr fontId="5" type="noConversion"/>
  </si>
  <si>
    <t>台鐵票價試算</t>
    <phoneticPr fontId="5" type="noConversion"/>
  </si>
  <si>
    <t>國內差旅費</t>
    <phoneticPr fontId="5" type="noConversion"/>
  </si>
  <si>
    <t>膳食費</t>
    <phoneticPr fontId="5" type="noConversion"/>
  </si>
  <si>
    <t>請選擇類別以查詢支付標準</t>
  </si>
  <si>
    <t>計算標準</t>
    <phoneticPr fontId="5" type="noConversion"/>
  </si>
  <si>
    <t>每人費用</t>
    <phoneticPr fontId="5" type="noConversion"/>
  </si>
  <si>
    <t>人數</t>
    <phoneticPr fontId="5" type="noConversion"/>
  </si>
  <si>
    <t>茶水</t>
  </si>
  <si>
    <t>保險費</t>
    <phoneticPr fontId="5" type="noConversion"/>
  </si>
  <si>
    <t>設備使用費</t>
    <phoneticPr fontId="5" type="noConversion"/>
  </si>
  <si>
    <t>軟體使用費</t>
    <phoneticPr fontId="5" type="noConversion"/>
  </si>
  <si>
    <t>研究倫理審查費</t>
    <phoneticPr fontId="5" type="noConversion"/>
  </si>
  <si>
    <t>國外投稿費/
研討會註冊費</t>
    <phoneticPr fontId="5" type="noConversion"/>
  </si>
  <si>
    <t>式</t>
    <phoneticPr fontId="5" type="noConversion"/>
  </si>
  <si>
    <t>材料費</t>
    <phoneticPr fontId="5" type="noConversion"/>
  </si>
  <si>
    <t>物品費</t>
    <phoneticPr fontId="5" type="noConversion"/>
  </si>
  <si>
    <t>雜支</t>
    <phoneticPr fontId="5" type="noConversion"/>
  </si>
  <si>
    <t>場地使用費</t>
    <phoneticPr fontId="5" type="noConversion"/>
  </si>
  <si>
    <t>單價</t>
    <phoneticPr fontId="5" type="noConversion"/>
  </si>
  <si>
    <t>編列說明</t>
    <phoneticPr fontId="5" type="noConversion"/>
  </si>
  <si>
    <t>機械儀器設備</t>
  </si>
  <si>
    <t>其他設備</t>
  </si>
  <si>
    <t>電腦軟體</t>
  </si>
  <si>
    <t>請選擇</t>
    <phoneticPr fontId="5" type="noConversion"/>
  </si>
  <si>
    <t>頁</t>
    <phoneticPr fontId="5" type="noConversion"/>
  </si>
  <si>
    <t>(請選擇)給付對象</t>
    <phoneticPr fontId="5" type="noConversion"/>
  </si>
  <si>
    <t>勞僱型兼任助理</t>
    <phoneticPr fontId="5" type="noConversion"/>
  </si>
  <si>
    <t>本/冊</t>
    <phoneticPr fontId="5" type="noConversion"/>
  </si>
  <si>
    <t>專業翻譯社/公司</t>
    <phoneticPr fontId="5" type="noConversion"/>
  </si>
  <si>
    <t>研究獎助生</t>
    <phoneticPr fontId="5" type="noConversion"/>
  </si>
  <si>
    <t>校外專家或獨立作業者</t>
    <phoneticPr fontId="5" type="noConversion"/>
  </si>
  <si>
    <t>校內職員(公保)</t>
    <phoneticPr fontId="5" type="noConversion"/>
  </si>
  <si>
    <t>勞僱型兼任助理-勞保退費用對照表</t>
    <phoneticPr fontId="5" type="noConversion"/>
  </si>
  <si>
    <t>學習型兼任助理-商業保險費用對照表</t>
    <phoneticPr fontId="5" type="noConversion"/>
  </si>
  <si>
    <t>薪資級距</t>
    <phoneticPr fontId="5" type="noConversion"/>
  </si>
  <si>
    <t>勞退(6%)</t>
    <phoneticPr fontId="5" type="noConversion"/>
  </si>
  <si>
    <t>保險期間(月數)</t>
  </si>
  <si>
    <t>保費(元)</t>
  </si>
  <si>
    <t>~</t>
    <phoneticPr fontId="5" type="noConversion"/>
  </si>
  <si>
    <t>請選擇類別以查詢支付標準</t>
    <phoneticPr fontId="5" type="noConversion"/>
  </si>
  <si>
    <t>報支金額上限(單位：每人)</t>
    <phoneticPr fontId="5" type="noConversion"/>
  </si>
  <si>
    <t>茶水</t>
    <phoneticPr fontId="5" type="noConversion"/>
  </si>
  <si>
    <t>早餐(含茶水)</t>
    <phoneticPr fontId="5" type="noConversion"/>
  </si>
  <si>
    <t>午餐或晚餐(含茶水)</t>
    <phoneticPr fontId="5" type="noConversion"/>
  </si>
  <si>
    <t xml:space="preserve">第一日/單日行程(不含早餐) </t>
    <phoneticPr fontId="5" type="noConversion"/>
  </si>
  <si>
    <t>第二日行程(含早餐)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</si>
</sst>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#,##0;[Red]#,##0"/>
    <numFmt numFmtId="179" formatCode="0_);[Red]\(0\)"/>
  </numFmts>
  <fonts count="52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sz val="18"/>
      <color theme="1"/>
      <name val="微軟正黑體"/>
      <family val="2"/>
      <charset val="136"/>
    </font>
    <font>
      <sz val="14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4"/>
      <color rgb="FF0070C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0070C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b/>
      <sz val="16"/>
      <color rgb="FF0000FF"/>
      <name val="微軟正黑體"/>
      <family val="2"/>
      <charset val="136"/>
    </font>
    <font>
      <b/>
      <sz val="22"/>
      <color theme="0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b/>
      <sz val="26"/>
      <color theme="0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3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b/>
      <sz val="2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14"/>
      <color theme="8" tint="-0.249977111117893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8"/>
      <color theme="6"/>
      <name val="微軟正黑體"/>
      <family val="2"/>
      <charset val="136"/>
    </font>
    <font>
      <b/>
      <sz val="12"/>
      <color theme="9"/>
      <name val="微軟正黑體"/>
      <family val="2"/>
      <charset val="136"/>
    </font>
    <font>
      <b/>
      <sz val="12"/>
      <color theme="4"/>
      <name val="微軟正黑體"/>
      <family val="2"/>
      <charset val="136"/>
    </font>
    <font>
      <b/>
      <u/>
      <sz val="18"/>
      <color rgb="FFC00000"/>
      <name val="微軟正黑體"/>
      <family val="2"/>
      <charset val="136"/>
    </font>
    <font>
      <b/>
      <sz val="22"/>
      <color theme="1" tint="0.14999847407452621"/>
      <name val="微軟正黑體"/>
      <family val="2"/>
      <charset val="136"/>
    </font>
    <font>
      <b/>
      <sz val="18"/>
      <color theme="1" tint="0.14999847407452621"/>
      <name val="微軟正黑體"/>
      <family val="2"/>
      <charset val="136"/>
    </font>
    <font>
      <sz val="11"/>
      <color rgb="FF3B3838"/>
      <name val="微軟正黑體"/>
      <family val="2"/>
      <charset val="136"/>
    </font>
    <font>
      <b/>
      <sz val="14"/>
      <color rgb="FF3B3838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b/>
      <sz val="14"/>
      <name val="微軟正黑體"/>
      <family val="2"/>
      <charset val="136"/>
    </font>
    <font>
      <u/>
      <sz val="14"/>
      <color theme="1" tint="0.499984740745262"/>
      <name val="微軟正黑體"/>
      <family val="2"/>
      <charset val="136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E3D5"/>
        <bgColor indexed="64"/>
      </patternFill>
    </fill>
    <fill>
      <patternFill patternType="solid">
        <fgColor rgb="FF5AC7B0"/>
        <bgColor indexed="64"/>
      </patternFill>
    </fill>
    <fill>
      <patternFill patternType="solid">
        <fgColor rgb="FFAEE4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AB6FB"/>
        <bgColor indexed="64"/>
      </patternFill>
    </fill>
    <fill>
      <patternFill patternType="solid">
        <fgColor rgb="FFDFE3FD"/>
        <bgColor indexed="64"/>
      </patternFill>
    </fill>
    <fill>
      <patternFill patternType="solid">
        <fgColor rgb="FFDFF5F0"/>
        <bgColor indexed="64"/>
      </patternFill>
    </fill>
    <fill>
      <patternFill patternType="solid">
        <fgColor rgb="FFC8CFFC"/>
        <bgColor indexed="64"/>
      </patternFill>
    </fill>
    <fill>
      <patternFill patternType="solid">
        <fgColor rgb="FFFFCCB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>
      <alignment vertical="center"/>
    </xf>
    <xf numFmtId="0" fontId="6" fillId="0" borderId="0"/>
    <xf numFmtId="44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</cellStyleXfs>
  <cellXfs count="249">
    <xf numFmtId="0" fontId="0" fillId="0" borderId="0" xfId="0"/>
    <xf numFmtId="0" fontId="3" fillId="0" borderId="0" xfId="0" applyFont="1"/>
    <xf numFmtId="176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2" borderId="1" xfId="2" applyFont="1" applyFill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177" fontId="13" fillId="2" borderId="1" xfId="1" applyNumberFormat="1" applyFont="1" applyFill="1" applyBorder="1" applyAlignment="1">
      <alignment horizontal="right"/>
    </xf>
    <xf numFmtId="177" fontId="11" fillId="0" borderId="1" xfId="1" applyNumberFormat="1" applyFont="1" applyBorder="1" applyAlignment="1">
      <alignment horizontal="center" vertical="center"/>
    </xf>
    <xf numFmtId="177" fontId="12" fillId="0" borderId="1" xfId="1" applyNumberFormat="1" applyFont="1" applyBorder="1" applyAlignment="1">
      <alignment horizontal="center" vertical="center"/>
    </xf>
    <xf numFmtId="177" fontId="14" fillId="0" borderId="1" xfId="1" applyNumberFormat="1" applyFont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5" fillId="0" borderId="0" xfId="2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177" fontId="14" fillId="0" borderId="1" xfId="1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3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32" fillId="0" borderId="18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vertical="center"/>
    </xf>
    <xf numFmtId="49" fontId="34" fillId="0" borderId="18" xfId="0" applyNumberFormat="1" applyFont="1" applyBorder="1" applyAlignment="1">
      <alignment horizontal="justify" vertical="center"/>
    </xf>
    <xf numFmtId="49" fontId="33" fillId="0" borderId="18" xfId="0" applyNumberFormat="1" applyFont="1" applyBorder="1" applyAlignment="1">
      <alignment horizontal="justify" vertical="center"/>
    </xf>
    <xf numFmtId="49" fontId="0" fillId="0" borderId="0" xfId="0" applyNumberFormat="1"/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vertical="center" wrapText="1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3" borderId="19" xfId="0" applyFont="1" applyFill="1" applyBorder="1" applyAlignment="1" applyProtection="1">
      <alignment vertical="center"/>
      <protection locked="0"/>
    </xf>
    <xf numFmtId="177" fontId="21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3" borderId="1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22" fillId="4" borderId="31" xfId="1" applyNumberFormat="1" applyFont="1" applyFill="1" applyBorder="1" applyAlignment="1" applyProtection="1">
      <alignment horizontal="center" vertical="center" wrapText="1"/>
    </xf>
    <xf numFmtId="0" fontId="22" fillId="0" borderId="0" xfId="1" applyNumberFormat="1" applyFont="1" applyFill="1" applyBorder="1" applyAlignment="1" applyProtection="1">
      <alignment vertical="center" wrapText="1"/>
    </xf>
    <xf numFmtId="0" fontId="22" fillId="0" borderId="0" xfId="1" applyNumberFormat="1" applyFont="1" applyFill="1" applyBorder="1" applyAlignment="1" applyProtection="1">
      <alignment horizontal="center" vertical="center" wrapText="1"/>
    </xf>
    <xf numFmtId="0" fontId="26" fillId="3" borderId="19" xfId="0" applyFont="1" applyFill="1" applyBorder="1" applyAlignment="1" applyProtection="1">
      <alignment horizontal="center" vertical="center"/>
      <protection locked="0"/>
    </xf>
    <xf numFmtId="177" fontId="26" fillId="3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3" fontId="3" fillId="0" borderId="1" xfId="0" applyNumberFormat="1" applyFont="1" applyBorder="1"/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7" fillId="0" borderId="17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/>
    </xf>
    <xf numFmtId="0" fontId="3" fillId="0" borderId="5" xfId="0" applyFont="1" applyBorder="1"/>
    <xf numFmtId="176" fontId="8" fillId="0" borderId="6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3" fontId="3" fillId="0" borderId="41" xfId="0" applyNumberFormat="1" applyFont="1" applyBorder="1"/>
    <xf numFmtId="0" fontId="3" fillId="0" borderId="47" xfId="0" applyFont="1" applyBorder="1"/>
    <xf numFmtId="0" fontId="48" fillId="12" borderId="14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2" applyFont="1"/>
    <xf numFmtId="0" fontId="18" fillId="0" borderId="0" xfId="0" applyFont="1"/>
    <xf numFmtId="0" fontId="21" fillId="4" borderId="1" xfId="0" applyFont="1" applyFill="1" applyBorder="1" applyAlignment="1">
      <alignment vertical="center" wrapText="1"/>
    </xf>
    <xf numFmtId="0" fontId="21" fillId="3" borderId="41" xfId="0" applyFont="1" applyFill="1" applyBorder="1" applyAlignment="1" applyProtection="1">
      <alignment vertical="center"/>
      <protection locked="0"/>
    </xf>
    <xf numFmtId="177" fontId="21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22" fillId="3" borderId="5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5" fillId="5" borderId="0" xfId="0" applyFont="1" applyFill="1" applyAlignment="1">
      <alignment horizontal="center" vertical="center" wrapText="1"/>
    </xf>
    <xf numFmtId="0" fontId="31" fillId="11" borderId="0" xfId="0" applyFont="1" applyFill="1" applyAlignment="1">
      <alignment horizontal="center" vertical="center"/>
    </xf>
    <xf numFmtId="177" fontId="40" fillId="16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31" fillId="14" borderId="0" xfId="0" applyFont="1" applyFill="1" applyAlignment="1">
      <alignment horizontal="center" vertical="center"/>
    </xf>
    <xf numFmtId="177" fontId="40" fillId="17" borderId="0" xfId="0" applyNumberFormat="1" applyFont="1" applyFill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177" fontId="40" fillId="18" borderId="0" xfId="0" applyNumberFormat="1" applyFont="1" applyFill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177" fontId="40" fillId="0" borderId="45" xfId="1" applyNumberFormat="1" applyFont="1" applyFill="1" applyBorder="1" applyAlignment="1" applyProtection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177" fontId="40" fillId="0" borderId="0" xfId="1" applyNumberFormat="1" applyFont="1" applyFill="1" applyBorder="1" applyAlignment="1" applyProtection="1">
      <alignment horizontal="right" vertical="center"/>
    </xf>
    <xf numFmtId="0" fontId="39" fillId="13" borderId="46" xfId="0" applyFont="1" applyFill="1" applyBorder="1" applyAlignment="1">
      <alignment horizontal="center" vertical="center" wrapText="1"/>
    </xf>
    <xf numFmtId="0" fontId="45" fillId="10" borderId="49" xfId="0" applyFont="1" applyFill="1" applyBorder="1" applyAlignment="1">
      <alignment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7" fontId="29" fillId="0" borderId="19" xfId="1" applyNumberFormat="1" applyFont="1" applyFill="1" applyBorder="1" applyAlignment="1" applyProtection="1">
      <alignment vertical="center"/>
    </xf>
    <xf numFmtId="0" fontId="16" fillId="0" borderId="53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77" fontId="29" fillId="0" borderId="56" xfId="1" applyNumberFormat="1" applyFont="1" applyFill="1" applyBorder="1" applyAlignment="1" applyProtection="1">
      <alignment horizontal="center" vertical="center"/>
    </xf>
    <xf numFmtId="0" fontId="45" fillId="14" borderId="0" xfId="0" applyFont="1" applyFill="1" applyAlignment="1">
      <alignment vertical="center" wrapText="1"/>
    </xf>
    <xf numFmtId="0" fontId="23" fillId="15" borderId="0" xfId="0" applyFont="1" applyFill="1" applyAlignment="1">
      <alignment horizontal="center" vertical="center" wrapText="1"/>
    </xf>
    <xf numFmtId="0" fontId="23" fillId="15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78" fontId="4" fillId="0" borderId="19" xfId="1" applyNumberFormat="1" applyFont="1" applyFill="1" applyBorder="1" applyAlignment="1" applyProtection="1">
      <alignment horizontal="right" vertical="center" wrapText="1"/>
    </xf>
    <xf numFmtId="0" fontId="7" fillId="0" borderId="19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left" vertical="top" wrapText="1"/>
    </xf>
    <xf numFmtId="177" fontId="4" fillId="0" borderId="19" xfId="1" applyNumberFormat="1" applyFont="1" applyFill="1" applyBorder="1" applyAlignment="1" applyProtection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77" fontId="11" fillId="0" borderId="19" xfId="1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1" fillId="0" borderId="19" xfId="1" applyNumberFormat="1" applyFont="1" applyFill="1" applyBorder="1" applyAlignment="1" applyProtection="1">
      <alignment horizontal="right" vertical="center" wrapText="1"/>
    </xf>
    <xf numFmtId="177" fontId="19" fillId="0" borderId="19" xfId="1" applyNumberFormat="1" applyFont="1" applyFill="1" applyBorder="1" applyAlignment="1" applyProtection="1">
      <alignment horizontal="right" vertical="center" wrapText="1"/>
    </xf>
    <xf numFmtId="177" fontId="49" fillId="0" borderId="19" xfId="1" applyNumberFormat="1" applyFont="1" applyFill="1" applyBorder="1" applyAlignment="1" applyProtection="1">
      <alignment horizontal="right" vertical="center" wrapText="1"/>
    </xf>
    <xf numFmtId="0" fontId="11" fillId="0" borderId="19" xfId="0" applyFont="1" applyBorder="1" applyAlignment="1">
      <alignment horizontal="center" vertical="top" wrapText="1"/>
    </xf>
    <xf numFmtId="0" fontId="51" fillId="0" borderId="0" xfId="4" applyFont="1" applyBorder="1" applyAlignment="1" applyProtection="1">
      <alignment vertical="center"/>
    </xf>
    <xf numFmtId="0" fontId="11" fillId="5" borderId="19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5" fillId="8" borderId="19" xfId="0" applyFont="1" applyFill="1" applyBorder="1" applyAlignment="1">
      <alignment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vertical="top"/>
    </xf>
    <xf numFmtId="0" fontId="22" fillId="3" borderId="19" xfId="0" applyFont="1" applyFill="1" applyBorder="1" applyAlignment="1" applyProtection="1">
      <alignment horizontal="right" vertical="center"/>
      <protection locked="0"/>
    </xf>
    <xf numFmtId="0" fontId="20" fillId="3" borderId="19" xfId="0" applyFont="1" applyFill="1" applyBorder="1" applyAlignment="1" applyProtection="1">
      <alignment horizontal="center"/>
      <protection locked="0"/>
    </xf>
    <xf numFmtId="176" fontId="21" fillId="3" borderId="21" xfId="3" applyNumberFormat="1" applyFont="1" applyFill="1" applyBorder="1" applyAlignment="1" applyProtection="1">
      <alignment horizontal="right" vertical="center" wrapText="1"/>
      <protection locked="0"/>
    </xf>
    <xf numFmtId="177" fontId="21" fillId="3" borderId="19" xfId="1" applyNumberFormat="1" applyFont="1" applyFill="1" applyBorder="1" applyAlignment="1" applyProtection="1">
      <alignment horizontal="right" vertical="center" wrapText="1"/>
      <protection locked="0"/>
    </xf>
    <xf numFmtId="177" fontId="21" fillId="3" borderId="19" xfId="1" applyNumberFormat="1" applyFont="1" applyFill="1" applyBorder="1" applyAlignment="1" applyProtection="1">
      <alignment horizontal="center" vertical="center" wrapText="1"/>
      <protection locked="0"/>
    </xf>
    <xf numFmtId="176" fontId="21" fillId="3" borderId="19" xfId="3" applyNumberFormat="1" applyFont="1" applyFill="1" applyBorder="1" applyAlignment="1" applyProtection="1">
      <alignment horizontal="right" vertical="center" wrapText="1"/>
      <protection locked="0"/>
    </xf>
    <xf numFmtId="179" fontId="21" fillId="3" borderId="19" xfId="0" applyNumberFormat="1" applyFont="1" applyFill="1" applyBorder="1" applyAlignment="1" applyProtection="1">
      <alignment horizontal="center" vertical="center" wrapText="1"/>
      <protection locked="0"/>
    </xf>
    <xf numFmtId="179" fontId="21" fillId="3" borderId="22" xfId="0" applyNumberFormat="1" applyFont="1" applyFill="1" applyBorder="1" applyAlignment="1" applyProtection="1">
      <alignment horizontal="center" vertical="center" wrapText="1"/>
      <protection locked="0"/>
    </xf>
    <xf numFmtId="177" fontId="21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19" xfId="0" applyFont="1" applyFill="1" applyBorder="1" applyProtection="1">
      <protection locked="0"/>
    </xf>
    <xf numFmtId="0" fontId="18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177" fontId="9" fillId="13" borderId="14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25" fillId="0" borderId="0" xfId="4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177" fontId="45" fillId="10" borderId="50" xfId="0" applyNumberFormat="1" applyFont="1" applyFill="1" applyBorder="1" applyAlignment="1">
      <alignment horizontal="left" vertical="center" wrapText="1"/>
    </xf>
    <xf numFmtId="0" fontId="45" fillId="10" borderId="50" xfId="0" applyFont="1" applyFill="1" applyBorder="1" applyAlignment="1">
      <alignment horizontal="left" vertical="center" wrapText="1"/>
    </xf>
    <xf numFmtId="0" fontId="45" fillId="10" borderId="51" xfId="0" applyFont="1" applyFill="1" applyBorder="1" applyAlignment="1">
      <alignment horizontal="left" vertical="center" wrapText="1"/>
    </xf>
    <xf numFmtId="0" fontId="46" fillId="11" borderId="58" xfId="0" applyFont="1" applyFill="1" applyBorder="1" applyAlignment="1">
      <alignment horizontal="left" vertical="center" wrapText="1"/>
    </xf>
    <xf numFmtId="0" fontId="46" fillId="11" borderId="19" xfId="0" applyFont="1" applyFill="1" applyBorder="1" applyAlignment="1">
      <alignment horizontal="left" vertical="center" wrapText="1"/>
    </xf>
    <xf numFmtId="0" fontId="46" fillId="11" borderId="53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177" fontId="29" fillId="0" borderId="19" xfId="1" applyNumberFormat="1" applyFont="1" applyFill="1" applyBorder="1" applyAlignment="1" applyProtection="1">
      <alignment horizontal="center" vertical="center"/>
    </xf>
    <xf numFmtId="177" fontId="29" fillId="0" borderId="56" xfId="1" applyNumberFormat="1" applyFont="1" applyFill="1" applyBorder="1" applyAlignment="1" applyProtection="1">
      <alignment horizontal="center" vertical="center"/>
    </xf>
    <xf numFmtId="0" fontId="16" fillId="0" borderId="53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177" fontId="31" fillId="0" borderId="56" xfId="1" applyNumberFormat="1" applyFont="1" applyBorder="1" applyAlignment="1" applyProtection="1">
      <alignment horizontal="center" vertical="center"/>
    </xf>
    <xf numFmtId="0" fontId="46" fillId="13" borderId="49" xfId="0" applyFont="1" applyFill="1" applyBorder="1" applyAlignment="1">
      <alignment horizontal="left" vertical="center" wrapText="1"/>
    </xf>
    <xf numFmtId="0" fontId="46" fillId="13" borderId="50" xfId="0" applyFont="1" applyFill="1" applyBorder="1" applyAlignment="1">
      <alignment horizontal="left" vertical="center" wrapText="1"/>
    </xf>
    <xf numFmtId="0" fontId="46" fillId="13" borderId="51" xfId="0" applyFont="1" applyFill="1" applyBorder="1" applyAlignment="1">
      <alignment horizontal="left" vertical="center" wrapText="1"/>
    </xf>
    <xf numFmtId="177" fontId="45" fillId="14" borderId="0" xfId="0" applyNumberFormat="1" applyFont="1" applyFill="1" applyAlignment="1">
      <alignment horizontal="center" vertical="center" wrapText="1"/>
    </xf>
    <xf numFmtId="0" fontId="45" fillId="14" borderId="0" xfId="0" applyFont="1" applyFill="1" applyAlignment="1">
      <alignment horizontal="center" vertical="center" wrapText="1"/>
    </xf>
    <xf numFmtId="0" fontId="23" fillId="15" borderId="0" xfId="0" applyFont="1" applyFill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right" vertical="center" wrapText="1"/>
    </xf>
    <xf numFmtId="177" fontId="4" fillId="0" borderId="19" xfId="1" applyNumberFormat="1" applyFont="1" applyFill="1" applyBorder="1" applyAlignment="1" applyProtection="1">
      <alignment horizontal="right" vertical="center" wrapText="1"/>
    </xf>
    <xf numFmtId="0" fontId="7" fillId="0" borderId="19" xfId="0" applyFont="1" applyBorder="1" applyAlignment="1">
      <alignment horizontal="left" vertical="top" wrapText="1"/>
    </xf>
    <xf numFmtId="177" fontId="21" fillId="4" borderId="8" xfId="1" applyNumberFormat="1" applyFont="1" applyFill="1" applyBorder="1" applyAlignment="1" applyProtection="1">
      <alignment horizontal="center" vertical="center" wrapText="1"/>
    </xf>
    <xf numFmtId="177" fontId="21" fillId="4" borderId="9" xfId="1" applyNumberFormat="1" applyFont="1" applyFill="1" applyBorder="1" applyAlignment="1" applyProtection="1">
      <alignment horizontal="center" vertical="center" wrapText="1"/>
    </xf>
    <xf numFmtId="177" fontId="21" fillId="4" borderId="10" xfId="1" applyNumberFormat="1" applyFont="1" applyFill="1" applyBorder="1" applyAlignment="1" applyProtection="1">
      <alignment horizontal="center" vertical="center" wrapText="1"/>
    </xf>
    <xf numFmtId="177" fontId="21" fillId="3" borderId="42" xfId="1" applyNumberFormat="1" applyFont="1" applyFill="1" applyBorder="1" applyAlignment="1" applyProtection="1">
      <alignment horizontal="center" vertical="center"/>
      <protection locked="0"/>
    </xf>
    <xf numFmtId="177" fontId="21" fillId="3" borderId="43" xfId="1" applyNumberFormat="1" applyFont="1" applyFill="1" applyBorder="1" applyAlignment="1" applyProtection="1">
      <alignment horizontal="center" vertical="center"/>
      <protection locked="0"/>
    </xf>
    <xf numFmtId="177" fontId="21" fillId="3" borderId="44" xfId="1" applyNumberFormat="1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 wrapText="1"/>
    </xf>
    <xf numFmtId="178" fontId="4" fillId="0" borderId="19" xfId="1" applyNumberFormat="1" applyFont="1" applyFill="1" applyBorder="1" applyAlignment="1" applyProtection="1">
      <alignment horizontal="right" vertical="center" wrapText="1"/>
    </xf>
    <xf numFmtId="177" fontId="21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7" fontId="4" fillId="0" borderId="19" xfId="1" applyNumberFormat="1" applyFont="1" applyFill="1" applyBorder="1" applyAlignment="1" applyProtection="1">
      <alignment horizontal="center" vertical="center" wrapText="1"/>
    </xf>
    <xf numFmtId="177" fontId="16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77" fontId="19" fillId="0" borderId="19" xfId="1" applyNumberFormat="1" applyFont="1" applyFill="1" applyBorder="1" applyAlignment="1" applyProtection="1">
      <alignment horizontal="center" vertical="center" wrapText="1"/>
    </xf>
    <xf numFmtId="176" fontId="21" fillId="0" borderId="19" xfId="3" applyNumberFormat="1" applyFont="1" applyFill="1" applyBorder="1" applyAlignment="1" applyProtection="1">
      <alignment horizontal="center" vertical="center" wrapText="1"/>
    </xf>
    <xf numFmtId="176" fontId="12" fillId="0" borderId="19" xfId="3" applyNumberFormat="1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177" fontId="21" fillId="0" borderId="22" xfId="1" applyNumberFormat="1" applyFont="1" applyFill="1" applyBorder="1" applyAlignment="1" applyProtection="1">
      <alignment horizontal="center" vertical="center" wrapText="1"/>
    </xf>
    <xf numFmtId="177" fontId="21" fillId="0" borderId="32" xfId="1" applyNumberFormat="1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21" fillId="7" borderId="19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 applyProtection="1">
      <alignment horizontal="center" vertical="center" wrapText="1"/>
      <protection locked="0"/>
    </xf>
    <xf numFmtId="177" fontId="11" fillId="0" borderId="9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3" fontId="27" fillId="8" borderId="19" xfId="1" applyFont="1" applyFill="1" applyBorder="1" applyAlignment="1" applyProtection="1">
      <alignment horizontal="center" vertical="center" wrapText="1"/>
    </xf>
    <xf numFmtId="176" fontId="21" fillId="0" borderId="9" xfId="3" applyNumberFormat="1" applyFont="1" applyFill="1" applyBorder="1" applyAlignment="1" applyProtection="1">
      <alignment horizontal="center" vertical="center" wrapText="1"/>
    </xf>
    <xf numFmtId="176" fontId="21" fillId="0" borderId="10" xfId="3" applyNumberFormat="1" applyFont="1" applyFill="1" applyBorder="1" applyAlignment="1" applyProtection="1">
      <alignment horizontal="center" vertical="center" wrapText="1"/>
    </xf>
    <xf numFmtId="177" fontId="11" fillId="0" borderId="7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9" fillId="3" borderId="19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8" fillId="12" borderId="46" xfId="0" applyFont="1" applyFill="1" applyBorder="1" applyAlignment="1">
      <alignment horizontal="center" vertical="center"/>
    </xf>
    <xf numFmtId="0" fontId="48" fillId="12" borderId="48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</cellXfs>
  <cellStyles count="5">
    <cellStyle name="一般" xfId="0" builtinId="0"/>
    <cellStyle name="一般 5" xfId="2" xr:uid="{00000000-0005-0000-0000-000001000000}"/>
    <cellStyle name="千分位" xfId="1" builtinId="3"/>
    <cellStyle name="貨幣" xfId="3" builtinId="4"/>
    <cellStyle name="超連結" xfId="4" builtinId="8"/>
  </cellStyles>
  <dxfs count="2">
    <dxf>
      <font>
        <color rgb="FF0000FF"/>
      </font>
      <fill>
        <patternFill>
          <fgColor rgb="FF0000FF"/>
          <bgColor rgb="FFFFFF00"/>
        </patternFill>
      </fill>
    </dxf>
    <dxf>
      <font>
        <color rgb="FF0000FF"/>
      </font>
      <fill>
        <patternFill>
          <fgColor rgb="FF0000FF"/>
          <bgColor rgb="FFFFFF00"/>
        </patternFill>
      </fill>
    </dxf>
  </dxfs>
  <tableStyles count="0" defaultTableStyle="TableStyleMedium2" defaultPivotStyle="PivotStyleMedium9"/>
  <colors>
    <mruColors>
      <color rgb="FFFFCCB3"/>
      <color rgb="FFC8CFFC"/>
      <color rgb="FFDFF5F0"/>
      <color rgb="FFFF9966"/>
      <color rgb="FFAAB6FB"/>
      <color rgb="FFDFE3FD"/>
      <color rgb="FFAEE4D8"/>
      <color rgb="FFFFFFCC"/>
      <color rgb="FF5AC7B0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209408</xdr:colOff>
      <xdr:row>22</xdr:row>
      <xdr:rowOff>126512</xdr:rowOff>
    </xdr:from>
    <xdr:to>
      <xdr:col>1</xdr:col>
      <xdr:colOff>7138348</xdr:colOff>
      <xdr:row>66</xdr:row>
      <xdr:rowOff>31843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444149" y="5711374"/>
          <a:ext cx="8993391" cy="6928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</xdr:colOff>
      <xdr:row>2</xdr:row>
      <xdr:rowOff>119371</xdr:rowOff>
    </xdr:from>
    <xdr:to>
      <xdr:col>5</xdr:col>
      <xdr:colOff>970820</xdr:colOff>
      <xdr:row>9</xdr:row>
      <xdr:rowOff>144780</xdr:rowOff>
    </xdr:to>
    <xdr:grpSp>
      <xdr:nvGrpSpPr>
        <xdr:cNvPr id="4" name="群組 3">
          <a:extLst>
            <a:ext uri="{FF2B5EF4-FFF2-40B4-BE49-F238E27FC236}">
              <a16:creationId xmlns:a16="http://schemas.microsoft.com/office/drawing/2014/main" id="{59157B8C-FFE1-92A3-192F-BE9BFBB23D75}"/>
            </a:ext>
          </a:extLst>
        </xdr:cNvPr>
        <xdr:cNvGrpSpPr/>
      </xdr:nvGrpSpPr>
      <xdr:grpSpPr>
        <a:xfrm>
          <a:off x="6309359" y="1315711"/>
          <a:ext cx="4544601" cy="3111509"/>
          <a:chOff x="6309359" y="1315711"/>
          <a:chExt cx="4544601" cy="3111509"/>
        </a:xfrm>
      </xdr:grpSpPr>
      <xdr:pic>
        <xdr:nvPicPr>
          <xdr:cNvPr id="2" name="圖片 1">
            <a:extLst>
              <a:ext uri="{FF2B5EF4-FFF2-40B4-BE49-F238E27FC236}">
                <a16:creationId xmlns:a16="http://schemas.microsoft.com/office/drawing/2014/main" id="{B9286441-9C88-BFC1-2F4C-24A8A8A891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309359" y="1315711"/>
            <a:ext cx="4544601" cy="1041054"/>
          </a:xfrm>
          <a:prstGeom prst="rect">
            <a:avLst/>
          </a:prstGeom>
          <a:ln w="28575">
            <a:solidFill>
              <a:srgbClr val="4BACC6"/>
            </a:solidFill>
          </a:ln>
        </xdr:spPr>
      </xdr:pic>
      <xdr:pic>
        <xdr:nvPicPr>
          <xdr:cNvPr id="3" name="圖片 2">
            <a:extLst>
              <a:ext uri="{FF2B5EF4-FFF2-40B4-BE49-F238E27FC236}">
                <a16:creationId xmlns:a16="http://schemas.microsoft.com/office/drawing/2014/main" id="{3C7CE4F6-D386-AE35-FECB-E2599B6513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309359" y="2446020"/>
            <a:ext cx="3791887" cy="1981200"/>
          </a:xfrm>
          <a:prstGeom prst="rect">
            <a:avLst/>
          </a:prstGeom>
          <a:ln w="28575">
            <a:solidFill>
              <a:srgbClr val="4BACC6"/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ldc.ttu.edu.tw/p/404-1003-28141.ph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railway.gov.tw/tra-tip-web/tip/tip001/tip114/query" TargetMode="External"/><Relationship Id="rId1" Type="http://schemas.openxmlformats.org/officeDocument/2006/relationships/hyperlink" Target="https://www.thsrc.com.tw/ArticleContent/a3b630bb-1066-4352-a1ef-58c7b4e8ef7c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/>
  </sheetViews>
  <sheetFormatPr defaultColWidth="51.44140625" defaultRowHeight="16.2"/>
  <cols>
    <col min="1" max="1" width="34.109375" style="31" bestFit="1" customWidth="1"/>
    <col min="2" max="2" width="50.88671875" style="31" bestFit="1" customWidth="1"/>
    <col min="3" max="3" width="17.44140625" style="31" bestFit="1" customWidth="1"/>
  </cols>
  <sheetData>
    <row r="1" spans="1:3" ht="17.399999999999999">
      <c r="A1" s="27" t="s">
        <v>0</v>
      </c>
      <c r="B1" s="27" t="s">
        <v>1</v>
      </c>
      <c r="C1" s="27" t="s">
        <v>2</v>
      </c>
    </row>
    <row r="2" spans="1:3">
      <c r="A2" s="28" t="s">
        <v>3</v>
      </c>
      <c r="B2" s="30" t="s">
        <v>4</v>
      </c>
      <c r="C2" s="30" t="s">
        <v>5</v>
      </c>
    </row>
    <row r="3" spans="1:3">
      <c r="A3" s="28" t="s">
        <v>6</v>
      </c>
      <c r="B3" s="30" t="s">
        <v>7</v>
      </c>
      <c r="C3" s="30" t="s">
        <v>5</v>
      </c>
    </row>
    <row r="4" spans="1:3">
      <c r="A4" s="28" t="s">
        <v>8</v>
      </c>
      <c r="B4" s="30" t="s">
        <v>9</v>
      </c>
      <c r="C4" s="30" t="s">
        <v>10</v>
      </c>
    </row>
    <row r="5" spans="1:3">
      <c r="A5" s="28" t="s">
        <v>11</v>
      </c>
      <c r="B5" s="30" t="s">
        <v>12</v>
      </c>
      <c r="C5" s="30" t="s">
        <v>13</v>
      </c>
    </row>
    <row r="6" spans="1:3">
      <c r="A6" s="28" t="s">
        <v>14</v>
      </c>
      <c r="B6" s="30" t="s">
        <v>15</v>
      </c>
      <c r="C6" s="30" t="s">
        <v>10</v>
      </c>
    </row>
    <row r="7" spans="1:3">
      <c r="A7" s="28" t="s">
        <v>16</v>
      </c>
      <c r="B7" s="30" t="s">
        <v>17</v>
      </c>
      <c r="C7" s="30" t="s">
        <v>18</v>
      </c>
    </row>
    <row r="8" spans="1:3" ht="32.4">
      <c r="A8" s="28" t="s">
        <v>19</v>
      </c>
      <c r="B8" s="29" t="s">
        <v>20</v>
      </c>
      <c r="C8" s="29"/>
    </row>
    <row r="9" spans="1:3" ht="48.6">
      <c r="A9" s="28" t="s">
        <v>21</v>
      </c>
      <c r="B9" s="29" t="s">
        <v>22</v>
      </c>
      <c r="C9" s="29"/>
    </row>
    <row r="10" spans="1:3" ht="32.4">
      <c r="A10" s="28" t="s">
        <v>23</v>
      </c>
      <c r="B10" s="29" t="s">
        <v>20</v>
      </c>
      <c r="C10" s="29"/>
    </row>
    <row r="11" spans="1:3" ht="32.4">
      <c r="A11" s="28" t="s">
        <v>24</v>
      </c>
      <c r="B11" s="29" t="s">
        <v>20</v>
      </c>
      <c r="C11" s="29"/>
    </row>
    <row r="12" spans="1:3" ht="32.4">
      <c r="A12" s="28" t="s">
        <v>25</v>
      </c>
      <c r="B12" s="29" t="s">
        <v>20</v>
      </c>
      <c r="C12" s="29"/>
    </row>
    <row r="13" spans="1:3" ht="32.4">
      <c r="A13" s="28" t="s">
        <v>26</v>
      </c>
      <c r="B13" s="29" t="s">
        <v>20</v>
      </c>
      <c r="C13" s="29"/>
    </row>
    <row r="14" spans="1:3" ht="32.4">
      <c r="A14" s="28" t="s">
        <v>27</v>
      </c>
      <c r="B14" s="29" t="s">
        <v>20</v>
      </c>
      <c r="C14" s="29"/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/>
  </sheetViews>
  <sheetFormatPr defaultColWidth="30.109375" defaultRowHeight="16.2"/>
  <cols>
    <col min="1" max="1" width="25.77734375" bestFit="1" customWidth="1"/>
    <col min="2" max="2" width="24.88671875" bestFit="1" customWidth="1"/>
  </cols>
  <sheetData>
    <row r="1" spans="1:2" ht="38.700000000000003" customHeight="1" thickBot="1">
      <c r="A1" s="32" t="s">
        <v>205</v>
      </c>
      <c r="B1" s="33" t="s">
        <v>206</v>
      </c>
    </row>
    <row r="2" spans="1:2" ht="16.8" thickBot="1">
      <c r="A2" s="34" t="s">
        <v>207</v>
      </c>
      <c r="B2" s="35">
        <v>40</v>
      </c>
    </row>
    <row r="3" spans="1:2" ht="16.8" thickBot="1">
      <c r="A3" s="36" t="s">
        <v>208</v>
      </c>
      <c r="B3" s="35">
        <v>100</v>
      </c>
    </row>
    <row r="4" spans="1:2" ht="16.8" thickBot="1">
      <c r="A4" s="36" t="s">
        <v>209</v>
      </c>
      <c r="B4" s="35">
        <v>140</v>
      </c>
    </row>
    <row r="5" spans="1:2" ht="16.8" thickBot="1">
      <c r="A5" s="36" t="s">
        <v>210</v>
      </c>
      <c r="B5" s="35">
        <v>240</v>
      </c>
    </row>
    <row r="6" spans="1:2" ht="16.8" thickBot="1">
      <c r="A6" s="36" t="s">
        <v>211</v>
      </c>
      <c r="B6" s="35">
        <v>300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/>
  </sheetViews>
  <sheetFormatPr defaultRowHeight="16.2"/>
  <cols>
    <col min="1" max="1" width="22.21875" bestFit="1" customWidth="1"/>
    <col min="2" max="3" width="17.21875" bestFit="1" customWidth="1"/>
  </cols>
  <sheetData>
    <row r="1" spans="1:3" ht="17.399999999999999">
      <c r="A1" s="27" t="s">
        <v>0</v>
      </c>
      <c r="B1" s="27" t="s">
        <v>1</v>
      </c>
      <c r="C1" s="27" t="s">
        <v>2</v>
      </c>
    </row>
    <row r="2" spans="1:3">
      <c r="A2" s="28" t="s">
        <v>28</v>
      </c>
      <c r="B2" s="30" t="s">
        <v>29</v>
      </c>
      <c r="C2" s="30" t="s">
        <v>5</v>
      </c>
    </row>
    <row r="3" spans="1:3" ht="32.4">
      <c r="A3" s="28" t="s">
        <v>30</v>
      </c>
      <c r="B3" s="30" t="s">
        <v>31</v>
      </c>
      <c r="C3" s="30" t="s">
        <v>32</v>
      </c>
    </row>
    <row r="4" spans="1:3">
      <c r="A4" s="28" t="s">
        <v>33</v>
      </c>
      <c r="B4" s="30" t="s">
        <v>34</v>
      </c>
      <c r="C4" s="30" t="s">
        <v>5</v>
      </c>
    </row>
    <row r="5" spans="1:3">
      <c r="A5" s="28" t="s">
        <v>35</v>
      </c>
      <c r="B5" s="30" t="s">
        <v>36</v>
      </c>
      <c r="C5" s="30" t="s">
        <v>32</v>
      </c>
    </row>
    <row r="6" spans="1:3" ht="81">
      <c r="A6" s="28" t="s">
        <v>37</v>
      </c>
      <c r="B6" s="29" t="s">
        <v>20</v>
      </c>
      <c r="C6" s="29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2"/>
  <sheetViews>
    <sheetView workbookViewId="0"/>
  </sheetViews>
  <sheetFormatPr defaultRowHeight="16.2"/>
  <cols>
    <col min="1" max="1" width="5.21875" customWidth="1"/>
    <col min="2" max="2" width="109.44140625" bestFit="1" customWidth="1"/>
    <col min="3" max="3" width="9.77734375" style="26" bestFit="1" customWidth="1"/>
    <col min="4" max="4" width="10.88671875" style="26" bestFit="1" customWidth="1"/>
    <col min="5" max="5" width="19.44140625" style="26" bestFit="1" customWidth="1"/>
  </cols>
  <sheetData>
    <row r="1" spans="1:9">
      <c r="B1" s="18" t="s">
        <v>38</v>
      </c>
      <c r="C1" s="21" t="s">
        <v>39</v>
      </c>
      <c r="D1" s="21" t="s">
        <v>40</v>
      </c>
      <c r="E1" s="22" t="s">
        <v>41</v>
      </c>
    </row>
    <row r="2" spans="1:9">
      <c r="A2">
        <v>1</v>
      </c>
      <c r="B2" s="19" t="s">
        <v>42</v>
      </c>
      <c r="C2" s="23" t="s">
        <v>43</v>
      </c>
      <c r="D2" s="23" t="s">
        <v>43</v>
      </c>
      <c r="E2" s="23" t="s">
        <v>43</v>
      </c>
      <c r="G2" s="149" t="s">
        <v>44</v>
      </c>
      <c r="H2" s="149"/>
      <c r="I2" s="149"/>
    </row>
    <row r="3" spans="1:9">
      <c r="A3">
        <v>2</v>
      </c>
      <c r="B3" s="19" t="s">
        <v>45</v>
      </c>
      <c r="C3" s="25">
        <v>810</v>
      </c>
      <c r="D3" s="25">
        <v>1220</v>
      </c>
      <c r="E3" s="24" t="s">
        <v>5</v>
      </c>
      <c r="G3" s="149"/>
      <c r="H3" s="149"/>
      <c r="I3" s="149"/>
    </row>
    <row r="4" spans="1:9">
      <c r="A4">
        <v>3</v>
      </c>
      <c r="B4" s="19" t="s">
        <v>46</v>
      </c>
      <c r="C4" s="25">
        <v>1020</v>
      </c>
      <c r="D4" s="25">
        <v>1630</v>
      </c>
      <c r="E4" s="24" t="s">
        <v>5</v>
      </c>
      <c r="G4" s="149"/>
      <c r="H4" s="149"/>
      <c r="I4" s="149"/>
    </row>
    <row r="5" spans="1:9">
      <c r="A5">
        <v>4</v>
      </c>
      <c r="B5" s="19" t="s">
        <v>47</v>
      </c>
      <c r="C5" s="25">
        <v>680</v>
      </c>
      <c r="D5" s="25">
        <v>1020</v>
      </c>
      <c r="E5" s="24" t="s">
        <v>5</v>
      </c>
      <c r="G5" s="149"/>
      <c r="H5" s="149"/>
      <c r="I5" s="149"/>
    </row>
    <row r="6" spans="1:9">
      <c r="A6">
        <v>5</v>
      </c>
      <c r="B6" s="19" t="s">
        <v>48</v>
      </c>
      <c r="C6" s="25">
        <v>810</v>
      </c>
      <c r="D6" s="25">
        <v>1420</v>
      </c>
      <c r="E6" s="24" t="s">
        <v>5</v>
      </c>
    </row>
    <row r="7" spans="1:9">
      <c r="A7">
        <v>6</v>
      </c>
      <c r="B7" s="19" t="s">
        <v>49</v>
      </c>
      <c r="C7" s="25">
        <v>1020</v>
      </c>
      <c r="D7" s="25">
        <v>1630</v>
      </c>
      <c r="E7" s="24" t="s">
        <v>5</v>
      </c>
    </row>
    <row r="8" spans="1:9">
      <c r="A8">
        <v>7</v>
      </c>
      <c r="B8" s="19" t="s">
        <v>50</v>
      </c>
      <c r="C8" s="25">
        <v>300</v>
      </c>
      <c r="D8" s="25">
        <v>410</v>
      </c>
      <c r="E8" s="24" t="s">
        <v>5</v>
      </c>
    </row>
    <row r="9" spans="1:9">
      <c r="A9">
        <v>8</v>
      </c>
      <c r="B9" s="19" t="s">
        <v>51</v>
      </c>
      <c r="C9" s="25">
        <v>410</v>
      </c>
      <c r="D9" s="25">
        <v>680</v>
      </c>
      <c r="E9" s="24" t="s">
        <v>5</v>
      </c>
    </row>
    <row r="10" spans="1:9">
      <c r="A10">
        <v>9</v>
      </c>
      <c r="B10" s="19" t="s">
        <v>52</v>
      </c>
      <c r="C10" s="25">
        <v>135</v>
      </c>
      <c r="D10" s="25">
        <v>200</v>
      </c>
      <c r="E10" s="24" t="s">
        <v>53</v>
      </c>
    </row>
    <row r="11" spans="1:9">
      <c r="A11">
        <v>10</v>
      </c>
      <c r="B11" s="19" t="s">
        <v>54</v>
      </c>
      <c r="C11" s="25">
        <v>270</v>
      </c>
      <c r="D11" s="25">
        <v>1080</v>
      </c>
      <c r="E11" s="24" t="s">
        <v>53</v>
      </c>
    </row>
    <row r="12" spans="1:9">
      <c r="A12">
        <v>11</v>
      </c>
      <c r="B12" s="19" t="s">
        <v>55</v>
      </c>
      <c r="C12" s="25">
        <v>1360</v>
      </c>
      <c r="D12" s="25">
        <v>4060</v>
      </c>
      <c r="E12" s="24" t="s">
        <v>53</v>
      </c>
    </row>
    <row r="13" spans="1:9">
      <c r="A13">
        <v>12</v>
      </c>
      <c r="B13" s="19" t="s">
        <v>56</v>
      </c>
      <c r="C13" s="25">
        <v>2700</v>
      </c>
      <c r="D13" s="25">
        <v>8110</v>
      </c>
      <c r="E13" s="24" t="s">
        <v>53</v>
      </c>
    </row>
    <row r="14" spans="1:9">
      <c r="A14">
        <v>13</v>
      </c>
      <c r="B14" s="19" t="s">
        <v>57</v>
      </c>
      <c r="C14" s="25">
        <v>5405</v>
      </c>
      <c r="D14" s="25">
        <v>20280</v>
      </c>
      <c r="E14" s="24" t="s">
        <v>53</v>
      </c>
    </row>
    <row r="15" spans="1:9">
      <c r="A15">
        <v>14</v>
      </c>
      <c r="B15" s="19" t="s">
        <v>58</v>
      </c>
      <c r="C15" s="25">
        <v>1080</v>
      </c>
      <c r="D15" s="25">
        <v>3240</v>
      </c>
      <c r="E15" s="24" t="s">
        <v>59</v>
      </c>
    </row>
    <row r="16" spans="1:9">
      <c r="A16">
        <v>15</v>
      </c>
      <c r="B16" s="19" t="s">
        <v>60</v>
      </c>
      <c r="C16" s="25">
        <v>4060</v>
      </c>
      <c r="D16" s="25">
        <v>13510</v>
      </c>
      <c r="E16" s="24" t="s">
        <v>10</v>
      </c>
    </row>
    <row r="17" spans="1:5">
      <c r="A17">
        <v>16</v>
      </c>
      <c r="B17" s="19" t="s">
        <v>61</v>
      </c>
      <c r="C17" s="23">
        <v>0.05</v>
      </c>
      <c r="D17" s="23">
        <f>0.1</f>
        <v>0.1</v>
      </c>
      <c r="E17" s="24" t="s">
        <v>62</v>
      </c>
    </row>
    <row r="18" spans="1:5">
      <c r="A18">
        <v>17</v>
      </c>
      <c r="B18" s="19" t="s">
        <v>63</v>
      </c>
      <c r="C18" s="23">
        <v>200</v>
      </c>
      <c r="D18" s="23">
        <v>200</v>
      </c>
      <c r="E18" s="24" t="s">
        <v>13</v>
      </c>
    </row>
    <row r="19" spans="1:5">
      <c r="A19">
        <v>18</v>
      </c>
      <c r="B19" s="19" t="s">
        <v>64</v>
      </c>
      <c r="C19" s="23">
        <v>810</v>
      </c>
      <c r="D19" s="23">
        <v>810</v>
      </c>
      <c r="E19" s="24" t="s">
        <v>10</v>
      </c>
    </row>
    <row r="20" spans="1:5">
      <c r="A20">
        <v>19</v>
      </c>
      <c r="B20" s="19" t="s">
        <v>65</v>
      </c>
      <c r="C20" s="23">
        <v>250</v>
      </c>
      <c r="D20" s="23">
        <v>250</v>
      </c>
      <c r="E20" s="24" t="s">
        <v>5</v>
      </c>
    </row>
    <row r="21" spans="1:5">
      <c r="A21">
        <v>20</v>
      </c>
      <c r="B21" s="19" t="s">
        <v>66</v>
      </c>
      <c r="C21" s="23">
        <v>1220</v>
      </c>
      <c r="D21" s="23">
        <v>1220</v>
      </c>
      <c r="E21" s="24" t="s">
        <v>10</v>
      </c>
    </row>
    <row r="22" spans="1:5" ht="16.8" thickBot="1">
      <c r="A22">
        <v>21</v>
      </c>
      <c r="B22" s="20" t="s">
        <v>67</v>
      </c>
      <c r="C22" s="23" t="s">
        <v>43</v>
      </c>
      <c r="D22" s="23" t="s">
        <v>43</v>
      </c>
      <c r="E22" s="23" t="s">
        <v>43</v>
      </c>
    </row>
  </sheetData>
  <mergeCells count="1">
    <mergeCell ref="G2:I5"/>
  </mergeCells>
  <phoneticPr fontId="5" type="noConversion"/>
  <hyperlinks>
    <hyperlink ref="G2:I5" location="經費試算表!A1" display="回經費試算表" xr:uid="{00000000-0004-0000-07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/>
  </sheetViews>
  <sheetFormatPr defaultColWidth="8.6640625" defaultRowHeight="15.6"/>
  <cols>
    <col min="1" max="1" width="14.44140625" style="1" bestFit="1" customWidth="1"/>
    <col min="2" max="2" width="13.88671875" style="1" bestFit="1" customWidth="1"/>
    <col min="3" max="5" width="10" style="1" bestFit="1" customWidth="1"/>
    <col min="6" max="6" width="23.6640625" style="1" bestFit="1" customWidth="1"/>
    <col min="7" max="7" width="5.88671875" style="1" bestFit="1" customWidth="1"/>
    <col min="8" max="8" width="14.6640625" style="1" bestFit="1" customWidth="1"/>
    <col min="9" max="16384" width="8.6640625" style="1"/>
  </cols>
  <sheetData>
    <row r="1" spans="1:6" ht="23.4">
      <c r="A1" s="3" t="s">
        <v>68</v>
      </c>
    </row>
    <row r="4" spans="1:6" ht="18">
      <c r="A4" s="4" t="s">
        <v>69</v>
      </c>
      <c r="B4" s="5" t="s">
        <v>70</v>
      </c>
      <c r="C4" s="6" t="s">
        <v>71</v>
      </c>
      <c r="D4" s="6" t="s">
        <v>72</v>
      </c>
      <c r="E4" s="6" t="s">
        <v>73</v>
      </c>
      <c r="F4" s="6" t="s">
        <v>74</v>
      </c>
    </row>
    <row r="5" spans="1:6" ht="18">
      <c r="A5" s="7">
        <v>12541</v>
      </c>
      <c r="B5" s="8">
        <f>LOOKUP(A5,級距表!A3:A12,級距表!C3:C12)</f>
        <v>13500</v>
      </c>
      <c r="C5" s="9">
        <f>LOOKUP(A5,級距表!A3:A12,級距表!D3:D12)</f>
        <v>1169</v>
      </c>
      <c r="D5" s="9">
        <f>LOOKUP(A5,級距表!A3:A12,級距表!E3:E12)</f>
        <v>810</v>
      </c>
      <c r="E5" s="9">
        <f>ROUND(A5*2.11%,0)</f>
        <v>265</v>
      </c>
      <c r="F5" s="10">
        <f>C5+D5+E5</f>
        <v>2244</v>
      </c>
    </row>
    <row r="6" spans="1:6" ht="18">
      <c r="A6" s="11" t="s">
        <v>75</v>
      </c>
      <c r="B6" s="12"/>
    </row>
    <row r="7" spans="1:6">
      <c r="E7" s="13" t="s">
        <v>76</v>
      </c>
      <c r="F7" s="13" t="s">
        <v>77</v>
      </c>
    </row>
    <row r="8" spans="1:6">
      <c r="E8" s="14">
        <v>1</v>
      </c>
      <c r="F8" s="15">
        <f>(F5+A5)</f>
        <v>14785</v>
      </c>
    </row>
    <row r="10" spans="1:6">
      <c r="A10" s="1" t="s">
        <v>78</v>
      </c>
    </row>
    <row r="11" spans="1:6" ht="16.2" customHeight="1">
      <c r="A11" s="150" t="s">
        <v>79</v>
      </c>
      <c r="B11" s="151" t="s">
        <v>80</v>
      </c>
      <c r="C11" s="150" t="s">
        <v>81</v>
      </c>
    </row>
    <row r="12" spans="1:6">
      <c r="A12" s="150"/>
      <c r="B12" s="152"/>
      <c r="C12" s="150"/>
    </row>
    <row r="13" spans="1:6">
      <c r="A13" s="16">
        <v>160</v>
      </c>
      <c r="B13" s="17">
        <v>40</v>
      </c>
      <c r="C13" s="16">
        <f>A13*B13</f>
        <v>6400</v>
      </c>
    </row>
    <row r="14" spans="1:6" ht="18">
      <c r="B14" s="11" t="s">
        <v>82</v>
      </c>
    </row>
  </sheetData>
  <mergeCells count="3">
    <mergeCell ref="A11:A12"/>
    <mergeCell ref="B11:B12"/>
    <mergeCell ref="C11:C12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6.2"/>
  <sheetData>
    <row r="1" spans="1:1">
      <c r="A1" t="s">
        <v>83</v>
      </c>
    </row>
    <row r="2" spans="1:1">
      <c r="A2" t="s">
        <v>59</v>
      </c>
    </row>
    <row r="3" spans="1:1">
      <c r="A3" t="s">
        <v>53</v>
      </c>
    </row>
    <row r="4" spans="1:1">
      <c r="A4" t="s">
        <v>10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DCFBD-80E9-4867-A16A-36D14F21F9E6}">
  <sheetPr>
    <tabColor theme="0" tint="-0.14999847407452621"/>
  </sheetPr>
  <dimension ref="A1:H7"/>
  <sheetViews>
    <sheetView tabSelected="1" workbookViewId="0">
      <selection activeCell="B6" sqref="B6"/>
    </sheetView>
  </sheetViews>
  <sheetFormatPr defaultColWidth="17.6640625" defaultRowHeight="18"/>
  <cols>
    <col min="1" max="1" width="68.109375" style="139" customWidth="1"/>
    <col min="2" max="2" width="23" style="139" customWidth="1"/>
    <col min="3" max="16384" width="17.6640625" style="139"/>
  </cols>
  <sheetData>
    <row r="1" spans="1:8" ht="52.95" customHeight="1">
      <c r="A1" s="153" t="s">
        <v>84</v>
      </c>
      <c r="B1" s="153"/>
      <c r="C1" s="145"/>
      <c r="D1" s="145"/>
      <c r="E1" s="145"/>
      <c r="F1" s="145"/>
      <c r="G1" s="145"/>
      <c r="H1" s="145"/>
    </row>
    <row r="2" spans="1:8" ht="41.7" customHeight="1">
      <c r="A2" s="142" t="s">
        <v>85</v>
      </c>
      <c r="B2" s="146" t="s">
        <v>86</v>
      </c>
      <c r="C2"/>
      <c r="D2"/>
      <c r="E2"/>
      <c r="F2"/>
      <c r="G2"/>
      <c r="H2"/>
    </row>
    <row r="3" spans="1:8" ht="41.7" customHeight="1">
      <c r="A3" s="142" t="s">
        <v>87</v>
      </c>
      <c r="B3" s="142"/>
      <c r="C3" s="142"/>
      <c r="D3" s="142"/>
      <c r="E3" s="142"/>
      <c r="F3" s="142"/>
      <c r="G3" s="142"/>
      <c r="H3" s="142"/>
    </row>
    <row r="4" spans="1:8" ht="41.7" customHeight="1">
      <c r="A4" s="143" t="s">
        <v>88</v>
      </c>
      <c r="B4" s="144"/>
      <c r="C4" s="142"/>
      <c r="D4" s="142"/>
      <c r="E4" s="142"/>
      <c r="F4" s="142"/>
      <c r="G4" s="142"/>
      <c r="H4" s="142"/>
    </row>
    <row r="5" spans="1:8" ht="41.7" customHeight="1">
      <c r="A5" s="42" t="s">
        <v>89</v>
      </c>
      <c r="B5" s="44"/>
      <c r="C5" s="142"/>
      <c r="D5" s="142"/>
      <c r="E5" s="142"/>
      <c r="F5" s="142"/>
      <c r="G5" s="142"/>
      <c r="H5" s="142"/>
    </row>
    <row r="6" spans="1:8" ht="41.7" customHeight="1">
      <c r="A6" s="141" t="s">
        <v>90</v>
      </c>
      <c r="B6" s="146" t="s">
        <v>91</v>
      </c>
      <c r="C6" s="140"/>
      <c r="D6" s="140"/>
      <c r="E6" s="140"/>
      <c r="F6" s="140"/>
      <c r="G6" s="140"/>
      <c r="H6" s="140"/>
    </row>
    <row r="7" spans="1:8" ht="41.7" customHeight="1">
      <c r="C7" s="43"/>
      <c r="D7" s="43"/>
      <c r="E7" s="43"/>
      <c r="F7" s="43"/>
      <c r="G7" s="43"/>
      <c r="H7" s="43"/>
    </row>
  </sheetData>
  <sheetProtection algorithmName="SHA-512" hashValue="rkS79TbtoZqUASwyOBosgYCSpzFvkAaHD3r0TI+0yaN/YwQjMFfQC8TZY1UyYwWxrHrcffLW7M2pJXOUTxLxSw==" saltValue="mnyQ3TO4uX5LQWd4UmZdxg==" spinCount="100000" sheet="1" objects="1" scenarios="1"/>
  <protectedRanges>
    <protectedRange sqref="A4" name="範圍1"/>
  </protectedRanges>
  <mergeCells count="1">
    <mergeCell ref="A1:B1"/>
  </mergeCells>
  <phoneticPr fontId="5" type="noConversion"/>
  <hyperlinks>
    <hyperlink ref="B2" r:id="rId1" xr:uid="{965D6D91-0AD1-4F08-9E2A-A57F84938303}"/>
    <hyperlink ref="B6" location="計算表!A1" display="前往" xr:uid="{83D34F79-8A31-4F71-B050-7D983F3426BB}"/>
  </hyperlinks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C23CB03F-C53F-46A2-A508-5AF0720534B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</xm:f>
              </x14:cfvo>
              <x14:cfIcon iconSet="NoIcons" iconId="0"/>
              <x14:cfIcon iconSet="NoIcons" iconId="0"/>
              <x14:cfIcon iconSet="3Symbols" iconId="0"/>
            </x14:iconSet>
          </x14:cfRule>
          <xm:sqref>A4</xm:sqref>
        </x14:conditionalFormatting>
        <x14:conditionalFormatting xmlns:xm="http://schemas.microsoft.com/office/excel/2006/main">
          <x14:cfRule type="iconSet" priority="1" id="{9D63CABF-1543-43BB-99DC-01F4E5DBD722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A5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6294-16D5-4716-ABB0-D88783BAACCA}">
  <sheetPr>
    <tabColor theme="0" tint="-0.14999847407452621"/>
  </sheetPr>
  <dimension ref="A1:J78"/>
  <sheetViews>
    <sheetView zoomScale="70" zoomScaleNormal="70" zoomScaleSheetLayoutView="70" zoomScalePageLayoutView="85" workbookViewId="0">
      <selection sqref="A1:H1"/>
    </sheetView>
  </sheetViews>
  <sheetFormatPr defaultColWidth="20.88671875" defaultRowHeight="15.6"/>
  <cols>
    <col min="1" max="1" width="23" style="68" customWidth="1"/>
    <col min="2" max="2" width="21.21875" style="68" customWidth="1"/>
    <col min="3" max="7" width="20.88671875" style="68"/>
    <col min="8" max="8" width="25.88671875" style="68" customWidth="1"/>
    <col min="9" max="16384" width="20.88671875" style="68"/>
  </cols>
  <sheetData>
    <row r="1" spans="1:8" ht="33.6">
      <c r="A1" s="156" t="s">
        <v>92</v>
      </c>
      <c r="B1" s="156"/>
      <c r="C1" s="156"/>
      <c r="D1" s="156"/>
      <c r="E1" s="156"/>
      <c r="F1" s="156"/>
      <c r="G1" s="156"/>
      <c r="H1" s="156"/>
    </row>
    <row r="4" spans="1:8" ht="28.8">
      <c r="A4" s="155" t="s">
        <v>93</v>
      </c>
      <c r="B4" s="155"/>
      <c r="C4" s="69"/>
      <c r="D4" s="69"/>
      <c r="E4" s="69"/>
      <c r="F4" s="69"/>
      <c r="G4" s="69"/>
      <c r="H4" s="69"/>
    </row>
    <row r="5" spans="1:8" ht="20.399999999999999" customHeight="1">
      <c r="A5" s="70" t="s">
        <v>94</v>
      </c>
      <c r="B5" s="70"/>
      <c r="C5" s="70" t="s">
        <v>95</v>
      </c>
      <c r="D5" s="69"/>
      <c r="E5" s="69"/>
      <c r="F5" s="69"/>
      <c r="G5" s="69"/>
      <c r="H5" s="69"/>
    </row>
    <row r="6" spans="1:8" ht="25.8">
      <c r="A6" s="71"/>
      <c r="B6" s="71" t="s">
        <v>96</v>
      </c>
      <c r="C6" s="157" t="s">
        <v>97</v>
      </c>
      <c r="D6" s="157"/>
      <c r="E6" s="157"/>
      <c r="F6" s="157"/>
      <c r="G6" s="157"/>
      <c r="H6" s="157"/>
    </row>
    <row r="7" spans="1:8" s="74" customFormat="1" ht="45" customHeight="1">
      <c r="A7" s="72" t="s">
        <v>98</v>
      </c>
      <c r="B7" s="73">
        <f>B15</f>
        <v>0</v>
      </c>
      <c r="C7" s="158" t="str">
        <f>IF(B7&gt;B10*0.6,"人事費總額超出總計畫金額之60%，請修正","")</f>
        <v/>
      </c>
      <c r="D7" s="158"/>
      <c r="E7" s="158"/>
      <c r="F7" s="158"/>
      <c r="G7" s="158"/>
      <c r="H7" s="158"/>
    </row>
    <row r="8" spans="1:8" s="74" customFormat="1" ht="49.95" customHeight="1">
      <c r="A8" s="75" t="s">
        <v>99</v>
      </c>
      <c r="B8" s="76">
        <f>B31</f>
        <v>12844</v>
      </c>
      <c r="C8" s="159"/>
      <c r="D8" s="159"/>
      <c r="E8" s="159"/>
      <c r="F8" s="159"/>
      <c r="G8" s="159"/>
      <c r="H8" s="159"/>
    </row>
    <row r="9" spans="1:8" s="74" customFormat="1" ht="45" customHeight="1">
      <c r="A9" s="77" t="s">
        <v>100</v>
      </c>
      <c r="B9" s="78">
        <f>B74</f>
        <v>0</v>
      </c>
      <c r="C9" s="160" t="str">
        <f>IF(B9&gt;0,"1.	本計畫重點為補助教師進行教學改進及創新研究，採取適當之研究方法及評量工具檢證成效之歷程，並能於校內外推廣具有重要具體貢獻，爰設備費得衡酌研究執行之必要性及需求性編列，惟如屬單純提升教學設備、教材教具或教室修繕等，請改以高教深耕或其他補助費用支應。","")</f>
        <v/>
      </c>
      <c r="D9" s="160"/>
      <c r="E9" s="160"/>
      <c r="F9" s="160"/>
      <c r="G9" s="160"/>
      <c r="H9" s="160"/>
    </row>
    <row r="10" spans="1:8" s="74" customFormat="1" ht="25.2" customHeight="1" thickBot="1">
      <c r="A10" s="79" t="s">
        <v>101</v>
      </c>
      <c r="B10" s="80">
        <f>B9+B8+B7</f>
        <v>12844</v>
      </c>
      <c r="C10" s="154" t="str">
        <f>IF(B10&gt;500000,"總額超出申請上限五十萬，請修正","")</f>
        <v/>
      </c>
      <c r="D10" s="154"/>
      <c r="E10" s="154"/>
      <c r="F10" s="154"/>
      <c r="G10" s="154"/>
      <c r="H10" s="154"/>
    </row>
    <row r="11" spans="1:8" s="74" customFormat="1" ht="10.95" customHeight="1" thickTop="1" thickBot="1">
      <c r="A11" s="82"/>
      <c r="B11" s="83"/>
      <c r="C11" s="81"/>
      <c r="D11" s="81"/>
      <c r="E11" s="81"/>
      <c r="F11" s="81"/>
      <c r="G11" s="81"/>
      <c r="H11" s="81"/>
    </row>
    <row r="12" spans="1:8" s="74" customFormat="1" ht="43.2" customHeight="1" thickBot="1">
      <c r="A12" s="84" t="s">
        <v>102</v>
      </c>
      <c r="B12" s="147">
        <f>G27</f>
        <v>22359</v>
      </c>
      <c r="C12" s="160"/>
      <c r="D12" s="160"/>
      <c r="E12" s="160"/>
      <c r="F12" s="160"/>
      <c r="G12" s="160"/>
      <c r="H12" s="160"/>
    </row>
    <row r="13" spans="1:8" ht="18.600000000000001" customHeight="1"/>
    <row r="14" spans="1:8" ht="16.2" thickBot="1"/>
    <row r="15" spans="1:8" ht="40.200000000000003" customHeight="1">
      <c r="A15" s="85" t="s">
        <v>98</v>
      </c>
      <c r="B15" s="164">
        <f>G18+G21</f>
        <v>0</v>
      </c>
      <c r="C15" s="165"/>
      <c r="D15" s="165"/>
      <c r="E15" s="165"/>
      <c r="F15" s="165"/>
      <c r="G15" s="165"/>
      <c r="H15" s="166"/>
    </row>
    <row r="16" spans="1:8" ht="23.4">
      <c r="A16" s="167" t="s">
        <v>103</v>
      </c>
      <c r="B16" s="168"/>
      <c r="C16" s="168"/>
      <c r="D16" s="168"/>
      <c r="E16" s="168"/>
      <c r="F16" s="168"/>
      <c r="G16" s="168"/>
      <c r="H16" s="169"/>
    </row>
    <row r="17" spans="1:10" ht="42.6" customHeight="1">
      <c r="A17" s="161"/>
      <c r="B17" s="86" t="s">
        <v>104</v>
      </c>
      <c r="C17" s="86" t="s">
        <v>76</v>
      </c>
      <c r="D17" s="86" t="s">
        <v>105</v>
      </c>
      <c r="E17" s="170" t="s">
        <v>106</v>
      </c>
      <c r="F17" s="171"/>
      <c r="G17" s="86" t="s">
        <v>96</v>
      </c>
      <c r="H17" s="88" t="s">
        <v>107</v>
      </c>
    </row>
    <row r="18" spans="1:10" ht="54.6" customHeight="1">
      <c r="A18" s="175"/>
      <c r="B18" s="89" t="s">
        <v>108</v>
      </c>
      <c r="C18" s="45">
        <v>0</v>
      </c>
      <c r="D18" s="46">
        <v>12000</v>
      </c>
      <c r="E18" s="172">
        <f>ROUND(D18*0.0211,0)</f>
        <v>253</v>
      </c>
      <c r="F18" s="173"/>
      <c r="G18" s="90">
        <f>C18*(D18+E18)</f>
        <v>0</v>
      </c>
      <c r="H18" s="91" t="str">
        <f>"主持人費每月"&amp;D18&amp;"元，補充保費"&amp;E18&amp;"元，計"&amp;C18&amp;"個月。"</f>
        <v>主持人費每月12000元，補充保費253元，計0個月。</v>
      </c>
    </row>
    <row r="19" spans="1:10" ht="23.4">
      <c r="A19" s="167" t="s">
        <v>109</v>
      </c>
      <c r="B19" s="168"/>
      <c r="C19" s="168"/>
      <c r="D19" s="168"/>
      <c r="E19" s="168"/>
      <c r="F19" s="168"/>
      <c r="G19" s="168"/>
      <c r="H19" s="169"/>
    </row>
    <row r="20" spans="1:10" ht="36" customHeight="1">
      <c r="A20" s="161"/>
      <c r="B20" s="86" t="s">
        <v>104</v>
      </c>
      <c r="C20" s="89" t="s">
        <v>76</v>
      </c>
      <c r="D20" s="89" t="s">
        <v>81</v>
      </c>
      <c r="E20" s="174" t="str">
        <f>IF(B23="請選擇","衍生費用",IF(B23="勞僱型兼任助理","勞保+勞退+雇主負擔補充保費",IF(B23="研究獎助生","商業保費+雇主負擔補充保費","每月保奉")))</f>
        <v>勞保+勞退+雇主負擔補充保費</v>
      </c>
      <c r="F20" s="174"/>
      <c r="G20" s="89" t="s">
        <v>96</v>
      </c>
      <c r="H20" s="88" t="s">
        <v>107</v>
      </c>
    </row>
    <row r="21" spans="1:10" ht="42.6" customHeight="1">
      <c r="A21" s="162"/>
      <c r="B21" s="89" t="s">
        <v>110</v>
      </c>
      <c r="C21" s="45">
        <v>0</v>
      </c>
      <c r="D21" s="46">
        <v>5000</v>
      </c>
      <c r="E21" s="176">
        <f>E23+D23+C23</f>
        <v>1432</v>
      </c>
      <c r="F21" s="176"/>
      <c r="G21" s="176">
        <f>(D21+E21)*C21</f>
        <v>0</v>
      </c>
      <c r="H21" s="178" t="str">
        <f>"聘用「"&amp;B23&amp;"」，每月薪資"&amp;D21&amp;"元、"&amp;"雇主負擔勞保退及補充保費"&amp;E21&amp;"元，聘期"&amp;C21&amp;"個月。"</f>
        <v>聘用「勞僱型兼任助理」，每月薪資5000元、雇主負擔勞保退及補充保費1432元，聘期0個月。</v>
      </c>
    </row>
    <row r="22" spans="1:10" ht="31.2" customHeight="1">
      <c r="A22" s="162"/>
      <c r="B22" s="92" t="s">
        <v>111</v>
      </c>
      <c r="C22" s="93" t="str">
        <f>IF(B23="勞僱型兼任助理","勞保",IF(B23="研究獎助生","商保",""))</f>
        <v>勞保</v>
      </c>
      <c r="D22" s="93" t="str">
        <f>IF(B23="勞僱型兼任助理","勞退","")</f>
        <v>勞退</v>
      </c>
      <c r="E22" s="180" t="s">
        <v>73</v>
      </c>
      <c r="F22" s="180"/>
      <c r="G22" s="176"/>
      <c r="H22" s="178"/>
    </row>
    <row r="23" spans="1:10" ht="40.950000000000003" customHeight="1" thickBot="1">
      <c r="A23" s="163"/>
      <c r="B23" s="67" t="s">
        <v>112</v>
      </c>
      <c r="C23" s="94">
        <f>IF(D21=0,0,IF(B23="勞僱型兼任助理",LOOKUP(D21,級距表!$A$3:$A$13,級距表!$D$3:$D$13),IF(B23="研究獎助生",IF(C21&lt;&gt;0,LOOKUP(C21,級距表!$G$3:$G$13,級距表!$H$3:$H$13),0),0)))</f>
        <v>966</v>
      </c>
      <c r="D23" s="94">
        <f>IF(D21=0,0,IF(B23="勞僱型兼任助理",LOOKUP(D21,級距表!A3:A13,級距表!E3:E13),0))</f>
        <v>360</v>
      </c>
      <c r="E23" s="181">
        <f>ROUND(D21*0.0211,0)</f>
        <v>106</v>
      </c>
      <c r="F23" s="181"/>
      <c r="G23" s="177"/>
      <c r="H23" s="179"/>
    </row>
    <row r="24" spans="1:10" ht="16.2" thickBot="1"/>
    <row r="25" spans="1:10" ht="25.95" customHeight="1">
      <c r="A25" s="182" t="s">
        <v>113</v>
      </c>
      <c r="B25" s="183"/>
      <c r="C25" s="183"/>
      <c r="D25" s="183"/>
      <c r="E25" s="183"/>
      <c r="F25" s="183"/>
      <c r="G25" s="183"/>
      <c r="H25" s="184"/>
    </row>
    <row r="26" spans="1:10" ht="21.6">
      <c r="A26" s="161"/>
      <c r="B26" s="86" t="s">
        <v>104</v>
      </c>
      <c r="C26" s="89" t="s">
        <v>76</v>
      </c>
      <c r="D26" s="89" t="s">
        <v>81</v>
      </c>
      <c r="E26" s="174" t="str">
        <f>IF(B29="請選擇","衍生費用",IF(B29="勞僱型兼任助理","勞保+勞退+雇主負擔補充保費",IF(B29="研究獎助生","商業保費+雇主負擔補充保費","每月保奉")))</f>
        <v>勞保+勞退+雇主負擔補充保費</v>
      </c>
      <c r="F26" s="174"/>
      <c r="G26" s="89" t="s">
        <v>96</v>
      </c>
      <c r="H26" s="88" t="s">
        <v>107</v>
      </c>
    </row>
    <row r="27" spans="1:10" ht="44.4" customHeight="1">
      <c r="A27" s="162"/>
      <c r="B27" s="89" t="s">
        <v>110</v>
      </c>
      <c r="C27" s="45">
        <v>3</v>
      </c>
      <c r="D27" s="46">
        <v>6000</v>
      </c>
      <c r="E27" s="176">
        <f>E29+D29+C29</f>
        <v>1453</v>
      </c>
      <c r="F27" s="176"/>
      <c r="G27" s="176">
        <f>(D27+E27)*C27</f>
        <v>22359</v>
      </c>
      <c r="H27" s="178" t="str">
        <f>"聘用博士生擔任「"&amp;B29&amp;"」，每月薪資"&amp;D27&amp;"元、"&amp;"雇主負擔勞保退及補充保費"&amp;E27&amp;"元，聘期"&amp;C27&amp;"個月。"</f>
        <v>聘用博士生擔任「勞僱型兼任助理」，每月薪資6000元、雇主負擔勞保退及補充保費1453元，聘期3個月。</v>
      </c>
      <c r="J27" s="148"/>
    </row>
    <row r="28" spans="1:10" ht="44.4" customHeight="1">
      <c r="A28" s="162"/>
      <c r="B28" s="92" t="s">
        <v>111</v>
      </c>
      <c r="C28" s="93" t="str">
        <f>IF(B29="勞僱型兼任助理","勞保",IF(B29="研究獎助生","商保",""))</f>
        <v>勞保</v>
      </c>
      <c r="D28" s="93" t="str">
        <f>IF(B29="勞僱型兼任助理","勞退","")</f>
        <v>勞退</v>
      </c>
      <c r="E28" s="180" t="s">
        <v>73</v>
      </c>
      <c r="F28" s="180"/>
      <c r="G28" s="176"/>
      <c r="H28" s="178"/>
    </row>
    <row r="29" spans="1:10" ht="40.950000000000003" customHeight="1" thickBot="1">
      <c r="A29" s="163"/>
      <c r="B29" s="67" t="s">
        <v>112</v>
      </c>
      <c r="C29" s="94">
        <f>IF(D27=0,0,IF(B29="勞僱型兼任助理",LOOKUP(D27,級距表!$A$3:$A$13,級距表!$D3:$D$13),IF(B29="研究獎助生",LOOKUP(C27,級距表!$G$3:$G$13,級距表!$H$3:$H$13),0)))</f>
        <v>966</v>
      </c>
      <c r="D29" s="94">
        <f>IF(D27=0,0,IF(B29="勞僱型兼任助理",LOOKUP(D27,級距表!A3:A13,級距表!E3:E13),0))</f>
        <v>360</v>
      </c>
      <c r="E29" s="181">
        <f>ROUND(D27*0.0211,0)</f>
        <v>127</v>
      </c>
      <c r="F29" s="181"/>
      <c r="G29" s="177"/>
      <c r="H29" s="179"/>
    </row>
    <row r="31" spans="1:10" ht="40.200000000000003" customHeight="1">
      <c r="A31" s="95" t="s">
        <v>99</v>
      </c>
      <c r="B31" s="185">
        <f>SUM(G33:G48)+SUM(G50:G72)</f>
        <v>12844</v>
      </c>
      <c r="C31" s="186"/>
      <c r="D31" s="186"/>
      <c r="E31" s="186"/>
      <c r="F31" s="186"/>
      <c r="G31" s="186"/>
      <c r="H31" s="186"/>
    </row>
    <row r="32" spans="1:10" ht="21.6">
      <c r="A32" s="96" t="s">
        <v>38</v>
      </c>
      <c r="B32" s="96" t="s">
        <v>104</v>
      </c>
      <c r="C32" s="187" t="s">
        <v>114</v>
      </c>
      <c r="D32" s="187"/>
      <c r="E32" s="97" t="s">
        <v>115</v>
      </c>
      <c r="F32" s="96" t="s">
        <v>41</v>
      </c>
      <c r="G32" s="96" t="s">
        <v>96</v>
      </c>
      <c r="H32" s="96" t="s">
        <v>107</v>
      </c>
    </row>
    <row r="33" spans="1:8" ht="25.2" customHeight="1">
      <c r="A33" s="86" t="s">
        <v>116</v>
      </c>
      <c r="B33" s="188" t="s">
        <v>117</v>
      </c>
      <c r="C33" s="133">
        <v>2500</v>
      </c>
      <c r="D33" s="98" t="s">
        <v>118</v>
      </c>
      <c r="E33" s="40">
        <v>0</v>
      </c>
      <c r="F33" s="99" t="s">
        <v>119</v>
      </c>
      <c r="G33" s="100">
        <f>C33*E33</f>
        <v>0</v>
      </c>
      <c r="H33" s="101"/>
    </row>
    <row r="34" spans="1:8" ht="25.2" customHeight="1">
      <c r="A34" s="86" t="s">
        <v>120</v>
      </c>
      <c r="B34" s="188"/>
      <c r="C34" s="133">
        <v>2500</v>
      </c>
      <c r="D34" s="98" t="s">
        <v>118</v>
      </c>
      <c r="E34" s="40">
        <v>0</v>
      </c>
      <c r="F34" s="99" t="s">
        <v>119</v>
      </c>
      <c r="G34" s="100">
        <f>C34*E34</f>
        <v>0</v>
      </c>
      <c r="H34" s="101"/>
    </row>
    <row r="35" spans="1:8" ht="25.2" customHeight="1">
      <c r="A35" s="86" t="s">
        <v>121</v>
      </c>
      <c r="B35" s="188"/>
      <c r="C35" s="133">
        <v>2500</v>
      </c>
      <c r="D35" s="98" t="s">
        <v>118</v>
      </c>
      <c r="E35" s="40">
        <v>0</v>
      </c>
      <c r="F35" s="99" t="s">
        <v>119</v>
      </c>
      <c r="G35" s="100">
        <f>C35*E35</f>
        <v>0</v>
      </c>
      <c r="H35" s="101"/>
    </row>
    <row r="36" spans="1:8" ht="25.2" customHeight="1" thickBot="1">
      <c r="A36" s="86" t="s">
        <v>122</v>
      </c>
      <c r="B36" s="188"/>
      <c r="C36" s="133">
        <v>2500</v>
      </c>
      <c r="D36" s="98" t="s">
        <v>118</v>
      </c>
      <c r="E36" s="40">
        <v>0</v>
      </c>
      <c r="F36" s="99" t="s">
        <v>119</v>
      </c>
      <c r="G36" s="100">
        <f>C36*E36</f>
        <v>0</v>
      </c>
      <c r="H36" s="101"/>
    </row>
    <row r="37" spans="1:8" ht="42.6" customHeight="1">
      <c r="A37" s="189" t="s">
        <v>83</v>
      </c>
      <c r="B37" s="102"/>
      <c r="C37" s="192" t="s">
        <v>123</v>
      </c>
      <c r="D37" s="193"/>
      <c r="E37" s="194"/>
      <c r="F37" s="103" t="s">
        <v>124</v>
      </c>
      <c r="G37" s="195">
        <f>IFERROR(C39*F39,0)</f>
        <v>0</v>
      </c>
      <c r="H37" s="197" t="str">
        <f>"擬邀請"&amp;B39&amp;"協助"&amp;C39&amp;"，編列「"&amp;IF(LEFT(B38,2)="審查","審查",B38)&amp;"」報酬，以"&amp;E38&amp;C38&amp;"元計算。"</f>
        <v>擬邀請校外專家或獨立作業者協助請輸入單價，編列「請選擇基準類別」報酬，以對應計價方式元計算。</v>
      </c>
    </row>
    <row r="38" spans="1:8" ht="28.95" customHeight="1">
      <c r="A38" s="190"/>
      <c r="B38" s="39" t="s">
        <v>125</v>
      </c>
      <c r="C38" s="198" t="str">
        <f>VLOOKUP(B38,稿費!A1:C14,2,FALSE)</f>
        <v>對應計價方式</v>
      </c>
      <c r="D38" s="199"/>
      <c r="E38" s="200"/>
      <c r="F38" s="64" t="str">
        <f>VLOOKUP(B38,稿費!A1:C14,3,FALSE)</f>
        <v>對應計算單位</v>
      </c>
      <c r="G38" s="196"/>
      <c r="H38" s="197"/>
    </row>
    <row r="39" spans="1:8" ht="40.950000000000003" customHeight="1" thickBot="1">
      <c r="A39" s="191"/>
      <c r="B39" s="66" t="s">
        <v>126</v>
      </c>
      <c r="C39" s="201" t="s">
        <v>127</v>
      </c>
      <c r="D39" s="202"/>
      <c r="E39" s="203"/>
      <c r="F39" s="65" t="s">
        <v>128</v>
      </c>
      <c r="G39" s="196"/>
      <c r="H39" s="197"/>
    </row>
    <row r="40" spans="1:8" ht="28.95" customHeight="1">
      <c r="A40" s="189" t="s">
        <v>129</v>
      </c>
      <c r="B40" s="106"/>
      <c r="C40" s="192" t="s">
        <v>123</v>
      </c>
      <c r="D40" s="193"/>
      <c r="E40" s="194"/>
      <c r="F40" s="103" t="s">
        <v>124</v>
      </c>
      <c r="G40" s="195">
        <f>IFERROR(C42*F42,0)</f>
        <v>0</v>
      </c>
      <c r="H40" s="197" t="str">
        <f>"擬邀請"&amp;B42&amp;"協助"&amp;C42&amp;"，編列「"&amp;IF(LEFT(B41,2)="審查","審查",B41)&amp;"」報酬，以"&amp;E41&amp;C41&amp;"元計算。"</f>
        <v>擬邀請專業翻譯社/公司協助請輸入單價，編列「請選擇基準類別」報酬，以對應計價方式元計算。</v>
      </c>
    </row>
    <row r="41" spans="1:8" ht="28.95" customHeight="1">
      <c r="A41" s="190"/>
      <c r="B41" s="39" t="s">
        <v>125</v>
      </c>
      <c r="C41" s="198" t="str">
        <f>VLOOKUP(B41,審查費!A1:'審查費'!C14,2,FALSE)</f>
        <v>對應計價方式</v>
      </c>
      <c r="D41" s="199"/>
      <c r="E41" s="200"/>
      <c r="F41" s="64" t="str">
        <f>VLOOKUP(B41,審查費!A1:'審查費'!C14,3,FALSE)</f>
        <v>對應計算單位</v>
      </c>
      <c r="G41" s="196"/>
      <c r="H41" s="197"/>
    </row>
    <row r="42" spans="1:8" ht="40.950000000000003" customHeight="1" thickBot="1">
      <c r="A42" s="191"/>
      <c r="B42" s="66" t="s">
        <v>130</v>
      </c>
      <c r="C42" s="201" t="s">
        <v>127</v>
      </c>
      <c r="D42" s="202"/>
      <c r="E42" s="203"/>
      <c r="F42" s="65" t="s">
        <v>128</v>
      </c>
      <c r="G42" s="196"/>
      <c r="H42" s="197"/>
    </row>
    <row r="43" spans="1:8" ht="31.2">
      <c r="A43" s="204" t="s">
        <v>131</v>
      </c>
      <c r="B43" s="98" t="s">
        <v>132</v>
      </c>
      <c r="C43" s="133">
        <v>2000</v>
      </c>
      <c r="D43" s="98" t="s">
        <v>133</v>
      </c>
      <c r="E43" s="135">
        <v>0</v>
      </c>
      <c r="F43" s="99" t="s">
        <v>134</v>
      </c>
      <c r="G43" s="205">
        <f>C43*E43+C44*E44+C45*E45</f>
        <v>0</v>
      </c>
      <c r="H43" s="197"/>
    </row>
    <row r="44" spans="1:8" ht="31.2">
      <c r="A44" s="204"/>
      <c r="B44" s="98" t="s">
        <v>135</v>
      </c>
      <c r="C44" s="133">
        <v>2000</v>
      </c>
      <c r="D44" s="98" t="s">
        <v>133</v>
      </c>
      <c r="E44" s="135">
        <v>0</v>
      </c>
      <c r="F44" s="99" t="s">
        <v>134</v>
      </c>
      <c r="G44" s="205"/>
      <c r="H44" s="197"/>
    </row>
    <row r="45" spans="1:8" ht="31.2">
      <c r="A45" s="204"/>
      <c r="B45" s="107" t="s">
        <v>136</v>
      </c>
      <c r="C45" s="137">
        <v>1000</v>
      </c>
      <c r="D45" s="107" t="s">
        <v>133</v>
      </c>
      <c r="E45" s="136">
        <v>0</v>
      </c>
      <c r="F45" s="108" t="s">
        <v>134</v>
      </c>
      <c r="G45" s="205"/>
      <c r="H45" s="197"/>
    </row>
    <row r="46" spans="1:8" ht="29.4" customHeight="1">
      <c r="A46" s="170" t="s">
        <v>137</v>
      </c>
      <c r="B46" s="237" t="s">
        <v>138</v>
      </c>
      <c r="C46" s="239" t="s">
        <v>139</v>
      </c>
      <c r="D46" s="239"/>
      <c r="E46" s="239"/>
      <c r="F46" s="240"/>
      <c r="G46" s="206">
        <v>0</v>
      </c>
      <c r="H46" s="207"/>
    </row>
    <row r="47" spans="1:8" ht="29.4" customHeight="1">
      <c r="A47" s="170"/>
      <c r="B47" s="238"/>
      <c r="C47" s="241"/>
      <c r="D47" s="241"/>
      <c r="E47" s="241"/>
      <c r="F47" s="242"/>
      <c r="G47" s="206"/>
      <c r="H47" s="207"/>
    </row>
    <row r="48" spans="1:8" ht="46.95" customHeight="1">
      <c r="A48" s="86" t="s">
        <v>140</v>
      </c>
      <c r="B48" s="208" t="s">
        <v>141</v>
      </c>
      <c r="C48" s="209"/>
      <c r="D48" s="209"/>
      <c r="E48" s="209"/>
      <c r="F48" s="210"/>
      <c r="G48" s="105">
        <f>ROUND((G33+G34+G35+G36+G43+G46+IF(B39="專業翻譯社/公司",0,G37)+IF(B42="專業翻譯社/公司",0,G40)+G46)*0.0211,0)</f>
        <v>0</v>
      </c>
      <c r="H48" s="104" t="s">
        <v>142</v>
      </c>
    </row>
    <row r="49" spans="1:9">
      <c r="A49" s="188"/>
      <c r="B49" s="188"/>
      <c r="C49" s="109" t="s">
        <v>143</v>
      </c>
      <c r="D49" s="110" t="s">
        <v>144</v>
      </c>
      <c r="E49" s="211" t="s">
        <v>145</v>
      </c>
      <c r="F49" s="211"/>
      <c r="G49" s="212"/>
      <c r="H49" s="212"/>
    </row>
    <row r="50" spans="1:9" ht="31.95" customHeight="1">
      <c r="A50" s="204" t="s">
        <v>146</v>
      </c>
      <c r="B50" s="188" t="s">
        <v>147</v>
      </c>
      <c r="C50" s="111" t="s">
        <v>148</v>
      </c>
      <c r="D50" s="111" t="s">
        <v>149</v>
      </c>
      <c r="E50" s="111" t="s">
        <v>150</v>
      </c>
      <c r="F50" s="111" t="s">
        <v>151</v>
      </c>
      <c r="G50" s="213">
        <f>E51*D51*F51</f>
        <v>10980</v>
      </c>
      <c r="H50" s="214" t="str">
        <f>"聘用"&amp;F51&amp;"位工讀生，每月工讀時數"&amp;C51&amp;"小時，聘期共"&amp;D51&amp;"個月，合計工讀金"&amp;TEXT(G50,"#,##0")&amp;"元，實際金額應依學生在校工讀狀況調整。"</f>
        <v>聘用1位工讀生，每月工讀時數60小時，聘期共1個月，合計工讀金10,980元，實際金額應依學生在校工讀狀況調整。</v>
      </c>
    </row>
    <row r="51" spans="1:9" ht="61.2" customHeight="1">
      <c r="A51" s="204"/>
      <c r="B51" s="188"/>
      <c r="C51" s="133">
        <v>60</v>
      </c>
      <c r="D51" s="133">
        <v>1</v>
      </c>
      <c r="E51" s="112">
        <f>C51*183</f>
        <v>10980</v>
      </c>
      <c r="F51" s="133">
        <v>1</v>
      </c>
      <c r="G51" s="174"/>
      <c r="H51" s="214"/>
    </row>
    <row r="52" spans="1:9" ht="53.4" customHeight="1">
      <c r="A52" s="204" t="s">
        <v>152</v>
      </c>
      <c r="B52" s="188" t="s">
        <v>153</v>
      </c>
      <c r="C52" s="235"/>
      <c r="D52" s="111" t="s">
        <v>154</v>
      </c>
      <c r="E52" s="111" t="s">
        <v>155</v>
      </c>
      <c r="F52" s="111" t="s">
        <v>156</v>
      </c>
      <c r="G52" s="215">
        <f>D54*F54*(D53+E53+F53)</f>
        <v>1864</v>
      </c>
      <c r="H52" s="214" t="str">
        <f>"每月勞保："&amp;D53&amp;"元，勞退："&amp;E53&amp;"，補充保費："&amp;F53&amp;"元，每人每月勞保退及補充保費合計："&amp;TEXT(D53+E53+F53,"#,##0")&amp;"元，全體臨時工讀生勞保、勞退及補充保費總費用共計："&amp;TEXT((D53+E53+F53)*D54*F54,"#,##0")&amp;"元，實際金額應依學生在校工讀狀況調整。"</f>
        <v>每月勞保：966元，勞退：666，補充保費：232元，每人每月勞保退及補充保費合計：1,864元，全體臨時工讀生勞保、勞退及補充保費總費用共計：1,864元，實際金額應依學生在校工讀狀況調整。</v>
      </c>
    </row>
    <row r="53" spans="1:9" ht="36.6" customHeight="1">
      <c r="A53" s="204"/>
      <c r="B53" s="188"/>
      <c r="C53" s="236"/>
      <c r="D53" s="113">
        <f>LOOKUP($E$51,級距表!$A$3:$A$13,級距表!$D3:$D$13)</f>
        <v>966</v>
      </c>
      <c r="E53" s="113">
        <f>LOOKUP($E$51,級距表!$A$3:$A$13,級距表!$E3:$E$13)</f>
        <v>666</v>
      </c>
      <c r="F53" s="113">
        <f>ROUND($E$51*2.11%,0)</f>
        <v>232</v>
      </c>
      <c r="G53" s="215"/>
      <c r="H53" s="214"/>
    </row>
    <row r="54" spans="1:9" ht="36.6" customHeight="1">
      <c r="A54" s="204"/>
      <c r="B54" s="188"/>
      <c r="C54" s="111" t="s">
        <v>149</v>
      </c>
      <c r="D54" s="114">
        <f>D51</f>
        <v>1</v>
      </c>
      <c r="E54" s="111" t="s">
        <v>151</v>
      </c>
      <c r="F54" s="114">
        <f>F51</f>
        <v>1</v>
      </c>
      <c r="G54" s="215"/>
      <c r="H54" s="214"/>
    </row>
    <row r="55" spans="1:9" ht="36" customHeight="1">
      <c r="A55" s="86" t="s">
        <v>157</v>
      </c>
      <c r="B55" s="98" t="s">
        <v>158</v>
      </c>
      <c r="C55" s="216"/>
      <c r="D55" s="216"/>
      <c r="E55" s="216"/>
      <c r="F55" s="216"/>
      <c r="G55" s="133"/>
      <c r="H55" s="115"/>
    </row>
    <row r="56" spans="1:9" ht="49.2" customHeight="1">
      <c r="A56" s="86" t="s">
        <v>159</v>
      </c>
      <c r="B56" s="98" t="s">
        <v>160</v>
      </c>
      <c r="C56" s="217" t="str">
        <f>IF(G56&gt;30,"超過規範上限","")</f>
        <v/>
      </c>
      <c r="D56" s="217"/>
      <c r="E56" s="217"/>
      <c r="F56" s="217"/>
      <c r="G56" s="133"/>
      <c r="H56" s="104"/>
    </row>
    <row r="57" spans="1:9" ht="42.6" customHeight="1">
      <c r="A57" s="86" t="s">
        <v>161</v>
      </c>
      <c r="B57" s="98" t="s">
        <v>162</v>
      </c>
      <c r="C57" s="217"/>
      <c r="D57" s="217"/>
      <c r="E57" s="217"/>
      <c r="F57" s="217"/>
      <c r="G57" s="134"/>
      <c r="H57" s="104"/>
    </row>
    <row r="58" spans="1:9" ht="58.95" customHeight="1">
      <c r="A58" s="86" t="s">
        <v>163</v>
      </c>
      <c r="B58" s="98" t="s">
        <v>162</v>
      </c>
      <c r="C58" s="217"/>
      <c r="D58" s="217"/>
      <c r="E58" s="217"/>
      <c r="F58" s="217"/>
      <c r="G58" s="134"/>
      <c r="H58" s="104"/>
      <c r="I58" s="116" t="s">
        <v>164</v>
      </c>
    </row>
    <row r="59" spans="1:9" ht="58.95" customHeight="1">
      <c r="A59" s="86" t="s">
        <v>165</v>
      </c>
      <c r="B59" s="98" t="s">
        <v>162</v>
      </c>
      <c r="C59" s="217"/>
      <c r="D59" s="217"/>
      <c r="E59" s="217"/>
      <c r="F59" s="217"/>
      <c r="G59" s="134"/>
      <c r="H59" s="104"/>
      <c r="I59" s="116" t="s">
        <v>166</v>
      </c>
    </row>
    <row r="60" spans="1:9" ht="58.95" customHeight="1">
      <c r="A60" s="86" t="s">
        <v>167</v>
      </c>
      <c r="B60" s="98" t="s">
        <v>162</v>
      </c>
      <c r="C60" s="217"/>
      <c r="D60" s="217"/>
      <c r="E60" s="217"/>
      <c r="F60" s="217"/>
      <c r="G60" s="134"/>
      <c r="H60" s="104"/>
    </row>
    <row r="61" spans="1:9" ht="37.950000000000003" customHeight="1">
      <c r="A61" s="204" t="s">
        <v>168</v>
      </c>
      <c r="B61" s="37" t="s">
        <v>169</v>
      </c>
      <c r="C61" s="218" t="s">
        <v>170</v>
      </c>
      <c r="D61" s="218"/>
      <c r="E61" s="117" t="s">
        <v>171</v>
      </c>
      <c r="F61" s="117" t="s">
        <v>172</v>
      </c>
      <c r="G61" s="219">
        <f>E62*F62+E63*F63</f>
        <v>0</v>
      </c>
      <c r="H61" s="221"/>
    </row>
    <row r="62" spans="1:9" ht="26.4" customHeight="1">
      <c r="A62" s="204"/>
      <c r="B62" s="222" t="str">
        <f>VLOOKUP(B61,膳食費!A1:B6,2,FALSE)</f>
        <v>報支金額上限(單位：每人)</v>
      </c>
      <c r="C62" s="223" t="s">
        <v>173</v>
      </c>
      <c r="D62" s="223"/>
      <c r="E62" s="38"/>
      <c r="F62" s="38"/>
      <c r="G62" s="220"/>
      <c r="H62" s="221"/>
    </row>
    <row r="63" spans="1:9" ht="37.950000000000003" customHeight="1">
      <c r="A63" s="204"/>
      <c r="B63" s="222"/>
      <c r="C63" s="223"/>
      <c r="D63" s="223"/>
      <c r="E63" s="38"/>
      <c r="F63" s="38"/>
      <c r="G63" s="220"/>
      <c r="H63" s="221"/>
    </row>
    <row r="64" spans="1:9" ht="40.950000000000003" customHeight="1">
      <c r="A64" s="87" t="s">
        <v>174</v>
      </c>
      <c r="B64" s="98" t="s">
        <v>162</v>
      </c>
      <c r="C64" s="229"/>
      <c r="D64" s="229"/>
      <c r="E64" s="229"/>
      <c r="F64" s="230"/>
      <c r="G64" s="131"/>
      <c r="H64" s="104"/>
    </row>
    <row r="65" spans="1:8" ht="40.950000000000003" customHeight="1">
      <c r="A65" s="87" t="s">
        <v>175</v>
      </c>
      <c r="B65" s="98" t="s">
        <v>162</v>
      </c>
      <c r="C65" s="229"/>
      <c r="D65" s="229"/>
      <c r="E65" s="229"/>
      <c r="F65" s="230"/>
      <c r="G65" s="131"/>
      <c r="H65" s="104"/>
    </row>
    <row r="66" spans="1:8" ht="40.950000000000003" customHeight="1">
      <c r="A66" s="87" t="s">
        <v>176</v>
      </c>
      <c r="B66" s="98" t="s">
        <v>162</v>
      </c>
      <c r="C66" s="229"/>
      <c r="D66" s="229"/>
      <c r="E66" s="229"/>
      <c r="F66" s="230"/>
      <c r="G66" s="131"/>
      <c r="H66" s="104"/>
    </row>
    <row r="67" spans="1:8" ht="40.950000000000003" customHeight="1">
      <c r="A67" s="87" t="s">
        <v>177</v>
      </c>
      <c r="B67" s="98" t="s">
        <v>162</v>
      </c>
      <c r="C67" s="229"/>
      <c r="D67" s="229"/>
      <c r="E67" s="229"/>
      <c r="F67" s="230"/>
      <c r="G67" s="131"/>
      <c r="H67" s="104"/>
    </row>
    <row r="68" spans="1:8" ht="46.95" customHeight="1">
      <c r="A68" s="87" t="s">
        <v>178</v>
      </c>
      <c r="B68" s="118" t="s">
        <v>162</v>
      </c>
      <c r="C68" s="229"/>
      <c r="D68" s="229"/>
      <c r="E68" s="119">
        <v>1</v>
      </c>
      <c r="F68" s="120" t="s">
        <v>179</v>
      </c>
      <c r="G68" s="131"/>
      <c r="H68" s="104"/>
    </row>
    <row r="69" spans="1:8" ht="51.6" customHeight="1">
      <c r="A69" s="121" t="s">
        <v>180</v>
      </c>
      <c r="B69" s="98" t="s">
        <v>162</v>
      </c>
      <c r="C69" s="231"/>
      <c r="D69" s="232"/>
      <c r="E69" s="119">
        <v>1</v>
      </c>
      <c r="F69" s="120" t="s">
        <v>179</v>
      </c>
      <c r="G69" s="132"/>
      <c r="H69" s="104"/>
    </row>
    <row r="70" spans="1:8" ht="51.6" customHeight="1">
      <c r="A70" s="121" t="s">
        <v>181</v>
      </c>
      <c r="B70" s="98" t="s">
        <v>162</v>
      </c>
      <c r="C70" s="224"/>
      <c r="D70" s="244"/>
      <c r="E70" s="122">
        <v>1</v>
      </c>
      <c r="F70" s="123" t="s">
        <v>179</v>
      </c>
      <c r="G70" s="132"/>
      <c r="H70" s="104"/>
    </row>
    <row r="71" spans="1:8" ht="51.6" customHeight="1">
      <c r="A71" s="121" t="s">
        <v>182</v>
      </c>
      <c r="B71" s="98" t="s">
        <v>162</v>
      </c>
      <c r="C71" s="224"/>
      <c r="D71" s="244"/>
      <c r="E71" s="122">
        <v>1</v>
      </c>
      <c r="F71" s="123" t="s">
        <v>179</v>
      </c>
      <c r="G71" s="132"/>
      <c r="H71" s="104"/>
    </row>
    <row r="72" spans="1:8" ht="51.6" customHeight="1">
      <c r="A72" s="87" t="s">
        <v>183</v>
      </c>
      <c r="B72" s="98" t="s">
        <v>162</v>
      </c>
      <c r="C72" s="224"/>
      <c r="D72" s="225"/>
      <c r="E72" s="122">
        <v>1</v>
      </c>
      <c r="F72" s="123" t="s">
        <v>179</v>
      </c>
      <c r="G72" s="132"/>
      <c r="H72" s="104"/>
    </row>
    <row r="73" spans="1:8">
      <c r="A73" s="226"/>
      <c r="B73" s="227"/>
      <c r="C73" s="227"/>
      <c r="D73" s="227"/>
      <c r="E73" s="226"/>
      <c r="F73" s="226"/>
      <c r="G73" s="226"/>
      <c r="H73" s="226"/>
    </row>
    <row r="74" spans="1:8" ht="40.200000000000003" customHeight="1">
      <c r="A74" s="124" t="s">
        <v>100</v>
      </c>
      <c r="B74" s="228">
        <f>G76+G77+G78</f>
        <v>0</v>
      </c>
      <c r="C74" s="228"/>
      <c r="D74" s="228"/>
      <c r="E74" s="228"/>
      <c r="F74" s="228"/>
      <c r="G74" s="228"/>
      <c r="H74" s="228"/>
    </row>
    <row r="75" spans="1:8" ht="21.6">
      <c r="A75" s="243" t="s">
        <v>38</v>
      </c>
      <c r="B75" s="243"/>
      <c r="C75" s="243" t="s">
        <v>184</v>
      </c>
      <c r="D75" s="243"/>
      <c r="E75" s="126" t="s">
        <v>115</v>
      </c>
      <c r="F75" s="125" t="s">
        <v>41</v>
      </c>
      <c r="G75" s="125" t="s">
        <v>96</v>
      </c>
      <c r="H75" s="125" t="s">
        <v>185</v>
      </c>
    </row>
    <row r="76" spans="1:8" ht="48" customHeight="1">
      <c r="A76" s="233" t="s">
        <v>186</v>
      </c>
      <c r="B76" s="233"/>
      <c r="C76" s="234"/>
      <c r="D76" s="234"/>
      <c r="E76" s="130"/>
      <c r="F76" s="138"/>
      <c r="G76" s="129">
        <f>C76*E76</f>
        <v>0</v>
      </c>
      <c r="H76" s="127"/>
    </row>
    <row r="77" spans="1:8" ht="48" customHeight="1">
      <c r="A77" s="233" t="s">
        <v>187</v>
      </c>
      <c r="B77" s="233"/>
      <c r="C77" s="234"/>
      <c r="D77" s="234"/>
      <c r="E77" s="130"/>
      <c r="F77" s="138"/>
      <c r="G77" s="129">
        <f>C77*E77</f>
        <v>0</v>
      </c>
      <c r="H77" s="128"/>
    </row>
    <row r="78" spans="1:8" ht="48" customHeight="1">
      <c r="A78" s="233" t="s">
        <v>188</v>
      </c>
      <c r="B78" s="233"/>
      <c r="C78" s="234"/>
      <c r="D78" s="234"/>
      <c r="E78" s="130"/>
      <c r="F78" s="138"/>
      <c r="G78" s="129">
        <f>C78*E78</f>
        <v>0</v>
      </c>
      <c r="H78" s="128"/>
    </row>
  </sheetData>
  <sheetProtection algorithmName="SHA-512" hashValue="dxK+rNFRJyF7Nz8sbUTJAh+bhXFgoShkQ1OOfMrKRhErS4dwPDmLCMZmox8NsBIOBqLcZBPU7VbyDvObadju+w==" saltValue="niLR8hfc0rw3GG7YMJ2WBg==" spinCount="100000" sheet="1" objects="1" scenarios="1"/>
  <protectedRanges>
    <protectedRange sqref="C18:D18 B23 C21:D21 B29 C27:D27" name="範圍1"/>
  </protectedRanges>
  <mergeCells count="97">
    <mergeCell ref="C12:H12"/>
    <mergeCell ref="C60:F60"/>
    <mergeCell ref="A78:B78"/>
    <mergeCell ref="C78:D78"/>
    <mergeCell ref="C52:C53"/>
    <mergeCell ref="C68:D68"/>
    <mergeCell ref="B46:B47"/>
    <mergeCell ref="C46:F47"/>
    <mergeCell ref="A75:B75"/>
    <mergeCell ref="C75:D75"/>
    <mergeCell ref="A76:B76"/>
    <mergeCell ref="C76:D76"/>
    <mergeCell ref="A77:B77"/>
    <mergeCell ref="C77:D77"/>
    <mergeCell ref="C70:D70"/>
    <mergeCell ref="C71:D71"/>
    <mergeCell ref="C72:D72"/>
    <mergeCell ref="A73:H73"/>
    <mergeCell ref="B74:H74"/>
    <mergeCell ref="C64:F64"/>
    <mergeCell ref="C65:F65"/>
    <mergeCell ref="C66:F66"/>
    <mergeCell ref="C67:F67"/>
    <mergeCell ref="C69:D69"/>
    <mergeCell ref="G61:G63"/>
    <mergeCell ref="H61:H63"/>
    <mergeCell ref="B62:B63"/>
    <mergeCell ref="C62:D62"/>
    <mergeCell ref="C63:D63"/>
    <mergeCell ref="C56:F56"/>
    <mergeCell ref="C57:F57"/>
    <mergeCell ref="C58:F58"/>
    <mergeCell ref="C59:F59"/>
    <mergeCell ref="A61:A63"/>
    <mergeCell ref="C61:D61"/>
    <mergeCell ref="A52:A54"/>
    <mergeCell ref="B52:B54"/>
    <mergeCell ref="G52:G54"/>
    <mergeCell ref="H52:H54"/>
    <mergeCell ref="C55:F55"/>
    <mergeCell ref="B48:F48"/>
    <mergeCell ref="A49:B49"/>
    <mergeCell ref="E49:F49"/>
    <mergeCell ref="G49:H49"/>
    <mergeCell ref="A50:A51"/>
    <mergeCell ref="B50:B51"/>
    <mergeCell ref="G50:G51"/>
    <mergeCell ref="H50:H51"/>
    <mergeCell ref="A43:A45"/>
    <mergeCell ref="G43:G45"/>
    <mergeCell ref="H43:H45"/>
    <mergeCell ref="A46:A47"/>
    <mergeCell ref="G46:G47"/>
    <mergeCell ref="H46:H47"/>
    <mergeCell ref="A40:A42"/>
    <mergeCell ref="C40:E40"/>
    <mergeCell ref="G40:G42"/>
    <mergeCell ref="H40:H42"/>
    <mergeCell ref="C41:E41"/>
    <mergeCell ref="C42:E42"/>
    <mergeCell ref="B31:H31"/>
    <mergeCell ref="C32:D32"/>
    <mergeCell ref="B33:B36"/>
    <mergeCell ref="A37:A39"/>
    <mergeCell ref="C37:E37"/>
    <mergeCell ref="G37:G39"/>
    <mergeCell ref="H37:H39"/>
    <mergeCell ref="C38:E38"/>
    <mergeCell ref="C39:E39"/>
    <mergeCell ref="A25:H25"/>
    <mergeCell ref="A26:A29"/>
    <mergeCell ref="E26:F26"/>
    <mergeCell ref="E27:F27"/>
    <mergeCell ref="G27:G29"/>
    <mergeCell ref="H27:H29"/>
    <mergeCell ref="E28:F28"/>
    <mergeCell ref="E29:F29"/>
    <mergeCell ref="A20:A23"/>
    <mergeCell ref="B15:H15"/>
    <mergeCell ref="A16:H16"/>
    <mergeCell ref="E17:F17"/>
    <mergeCell ref="E18:F18"/>
    <mergeCell ref="A19:H19"/>
    <mergeCell ref="E20:F20"/>
    <mergeCell ref="A17:A18"/>
    <mergeCell ref="E21:F21"/>
    <mergeCell ref="G21:G23"/>
    <mergeCell ref="H21:H23"/>
    <mergeCell ref="E22:F22"/>
    <mergeCell ref="E23:F23"/>
    <mergeCell ref="C10:H10"/>
    <mergeCell ref="A4:B4"/>
    <mergeCell ref="A1:H1"/>
    <mergeCell ref="C6:H6"/>
    <mergeCell ref="C7:H7"/>
    <mergeCell ref="C8:H8"/>
    <mergeCell ref="C9:H9"/>
  </mergeCells>
  <phoneticPr fontId="5" type="noConversion"/>
  <conditionalFormatting sqref="C7:H9">
    <cfRule type="containsText" dxfId="1" priority="65" operator="containsText" text="*">
      <formula>NOT(ISERROR(SEARCH("*",C7)))</formula>
    </cfRule>
  </conditionalFormatting>
  <conditionalFormatting sqref="C12:H12">
    <cfRule type="containsText" dxfId="0" priority="1" operator="containsText" text="*">
      <formula>NOT(ISERROR(SEARCH("*",C12)))</formula>
    </cfRule>
  </conditionalFormatting>
  <hyperlinks>
    <hyperlink ref="I58" r:id="rId1" xr:uid="{889D9C89-A813-477A-9731-6937C7D8A466}"/>
    <hyperlink ref="I59" r:id="rId2" xr:uid="{DBF45F78-7864-4E47-BA89-69A48E37766C}"/>
  </hyperlinks>
  <pageMargins left="0.7" right="0.7" top="0.75" bottom="0.75" header="0.3" footer="0.3"/>
  <pageSetup paperSize="9" scale="50" orientation="portrait" verticalDpi="0" r:id="rId3"/>
  <rowBreaks count="1" manualBreakCount="1">
    <brk id="4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6" id="{03ED4D6D-2766-4229-A68B-201C7810E471}">
            <x14:iconSet iconSet="3Symbols" custom="1">
              <x14:cfvo type="percent">
                <xm:f>0</xm:f>
              </x14:cfvo>
              <x14:cfvo type="percent">
                <xm:f>33</xm:f>
              </x14:cfvo>
              <x14:cfvo type="num" gte="0">
                <xm:f>$B$10*0.6</xm:f>
              </x14:cfvo>
              <x14:cfIcon iconSet="NoIcons" iconId="0"/>
              <x14:cfIcon iconSet="NoIcons" iconId="0"/>
              <x14:cfIcon iconSet="3Symbols" iconId="0"/>
            </x14:iconSet>
          </x14:cfRule>
          <xm:sqref>B7</xm:sqref>
        </x14:conditionalFormatting>
        <x14:conditionalFormatting xmlns:xm="http://schemas.microsoft.com/office/excel/2006/main">
          <x14:cfRule type="iconSet" priority="67" id="{534DD49B-CE6A-4C89-A103-FB7C88617FF6}">
            <x14:iconSet custom="1">
              <x14:cfvo type="percent">
                <xm:f>0</xm:f>
              </x14:cfvo>
              <x14:cfvo type="percent">
                <xm:f>33</xm:f>
              </x14:cfvo>
              <x14:cfvo type="num">
                <xm:f>500000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B10:B11</xm:sqref>
        </x14:conditionalFormatting>
        <x14:conditionalFormatting xmlns:xm="http://schemas.microsoft.com/office/excel/2006/main">
          <x14:cfRule type="iconSet" priority="9" id="{AD116E7F-4589-471E-8B11-295A8E27DA29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B38</xm:sqref>
        </x14:conditionalFormatting>
        <x14:conditionalFormatting xmlns:xm="http://schemas.microsoft.com/office/excel/2006/main">
          <x14:cfRule type="iconSet" priority="8" id="{8D954BAD-2E72-4989-8BDC-06652413FE13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B39</xm:sqref>
        </x14:conditionalFormatting>
        <x14:conditionalFormatting xmlns:xm="http://schemas.microsoft.com/office/excel/2006/main">
          <x14:cfRule type="iconSet" priority="5" id="{1F218D7C-52FE-44E4-B855-23A75F3984EF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B41</xm:sqref>
        </x14:conditionalFormatting>
        <x14:conditionalFormatting xmlns:xm="http://schemas.microsoft.com/office/excel/2006/main">
          <x14:cfRule type="iconSet" priority="3" id="{AA741993-3064-43FE-BD96-B86A5E4E9B5A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B42</xm:sqref>
        </x14:conditionalFormatting>
        <x14:conditionalFormatting xmlns:xm="http://schemas.microsoft.com/office/excel/2006/main">
          <x14:cfRule type="iconSet" priority="62" id="{AEFD90B1-9A02-4290-AE06-E8959EB375B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</xm:f>
              </x14:cfvo>
              <x14:cfIcon iconSet="NoIcons" iconId="0"/>
              <x14:cfIcon iconSet="NoIcons" iconId="0"/>
              <x14:cfIcon iconSet="3Symbols" iconId="0"/>
            </x14:iconSet>
          </x14:cfRule>
          <xm:sqref>C18</xm:sqref>
        </x14:conditionalFormatting>
        <x14:conditionalFormatting xmlns:xm="http://schemas.microsoft.com/office/excel/2006/main">
          <x14:cfRule type="iconSet" priority="60" id="{17547862-BC11-41E3-8336-3F139274661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</xm:f>
              </x14:cfvo>
              <x14:cfIcon iconSet="NoIcons" iconId="0"/>
              <x14:cfIcon iconSet="NoIcons" iconId="0"/>
              <x14:cfIcon iconSet="3Symbols" iconId="0"/>
            </x14:iconSet>
          </x14:cfRule>
          <xm:sqref>C21</xm:sqref>
        </x14:conditionalFormatting>
        <x14:conditionalFormatting xmlns:xm="http://schemas.microsoft.com/office/excel/2006/main">
          <x14:cfRule type="iconSet" priority="58" id="{06512C56-E62A-43D4-9D50-25A6DAD1837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</xm:f>
              </x14:cfvo>
              <x14:cfIcon iconSet="NoIcons" iconId="0"/>
              <x14:cfIcon iconSet="NoIcons" iconId="0"/>
              <x14:cfIcon iconSet="3Symbols" iconId="0"/>
            </x14:iconSet>
          </x14:cfRule>
          <xm:sqref>C27</xm:sqref>
        </x14:conditionalFormatting>
        <x14:conditionalFormatting xmlns:xm="http://schemas.microsoft.com/office/excel/2006/main">
          <x14:cfRule type="iconSet" priority="69" id="{3E7BC363-6B41-4E63-B4A9-B3648D049DA4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2500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C33:C36</xm:sqref>
        </x14:conditionalFormatting>
        <x14:conditionalFormatting xmlns:xm="http://schemas.microsoft.com/office/excel/2006/main">
          <x14:cfRule type="iconSet" priority="6" id="{37D6B759-CC41-40C6-AA11-76E8049932E9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C38</xm:sqref>
        </x14:conditionalFormatting>
        <x14:conditionalFormatting xmlns:xm="http://schemas.microsoft.com/office/excel/2006/main">
          <x14:cfRule type="iconSet" priority="7" id="{EB7A28B7-4452-4667-B99C-5C3F43D75B0B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C39</xm:sqref>
        </x14:conditionalFormatting>
        <x14:conditionalFormatting xmlns:xm="http://schemas.microsoft.com/office/excel/2006/main">
          <x14:cfRule type="iconSet" priority="4" id="{1C8543D3-DCB5-4E30-997B-C081E69CD294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C41</xm:sqref>
        </x14:conditionalFormatting>
        <x14:conditionalFormatting xmlns:xm="http://schemas.microsoft.com/office/excel/2006/main">
          <x14:cfRule type="iconSet" priority="2" id="{D1C3FA29-6658-4C9B-BB6F-44FBE9048463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C42</xm:sqref>
        </x14:conditionalFormatting>
        <x14:conditionalFormatting xmlns:xm="http://schemas.microsoft.com/office/excel/2006/main">
          <x14:cfRule type="iconSet" priority="32" id="{182B38C7-3F5C-46FD-A856-9FEC60F0A2B1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2400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C43</xm:sqref>
        </x14:conditionalFormatting>
        <x14:conditionalFormatting xmlns:xm="http://schemas.microsoft.com/office/excel/2006/main">
          <x14:cfRule type="iconSet" priority="31" id="{689CFB76-CFF5-423D-B56B-373AC1548CA8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2000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C44</xm:sqref>
        </x14:conditionalFormatting>
        <x14:conditionalFormatting xmlns:xm="http://schemas.microsoft.com/office/excel/2006/main">
          <x14:cfRule type="iconSet" priority="30" id="{79C016B6-3BFC-49FB-8E27-DFF56F081428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1000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C45</xm:sqref>
        </x14:conditionalFormatting>
        <x14:conditionalFormatting xmlns:xm="http://schemas.microsoft.com/office/excel/2006/main">
          <x14:cfRule type="iconSet" priority="64" id="{BB9BE8F1-6E50-4A7C-9F5D-58B51597A9D4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>
                <xm:f>12001</xm:f>
              </x14:cfvo>
              <x14:cfIcon iconSet="NoIcons" iconId="0"/>
              <x14:cfIcon iconSet="NoIcons" iconId="0"/>
              <x14:cfIcon iconSet="3Symbols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3" id="{3C6EB53B-52CB-4190-92E8-E3F026AF0A88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>
                <xm:f>5001</xm:f>
              </x14:cfvo>
              <x14:cfIcon iconSet="NoIcons" iconId="0"/>
              <x14:cfIcon iconSet="NoIcons" iconId="0"/>
              <x14:cfIcon iconSet="3Symbols" iconId="0"/>
            </x14:iconSet>
          </x14:cfRule>
          <xm:sqref>D21</xm:sqref>
        </x14:conditionalFormatting>
        <x14:conditionalFormatting xmlns:xm="http://schemas.microsoft.com/office/excel/2006/main">
          <x14:cfRule type="iconSet" priority="59" id="{FA29BD9F-4B15-451A-BED1-3C126E1A6FFA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>
                <xm:f>10001</xm:f>
              </x14:cfvo>
              <x14:cfIcon iconSet="NoIcons" iconId="0"/>
              <x14:cfIcon iconSet="NoIcons" iconId="0"/>
              <x14:cfIcon iconSet="3Symbols" iconId="0"/>
            </x14:iconSet>
          </x14:cfRule>
          <xm:sqref>D27</xm:sqref>
        </x14:conditionalFormatting>
        <x14:conditionalFormatting xmlns:xm="http://schemas.microsoft.com/office/excel/2006/main">
          <x14:cfRule type="iconSet" priority="28" id="{232308C7-C629-4BCF-9D52-90969FCE937B}">
            <x14:iconSet custom="1">
              <x14:cfvo type="percent">
                <xm:f>0</xm:f>
              </x14:cfvo>
              <x14:cfvo type="num" gte="0">
                <xm:f>0</xm:f>
              </x14:cfvo>
              <x14:cfvo type="num" gte="0">
                <xm:f>6</xm:f>
              </x14:cfvo>
              <x14:cfIcon iconSet="NoIcons" iconId="0"/>
              <x14:cfIcon iconSet="NoIcons" iconId="0"/>
              <x14:cfIcon iconSet="3Symbols" iconId="0"/>
            </x14:iconSet>
          </x14:cfRule>
          <xm:sqref>D51</xm:sqref>
        </x14:conditionalFormatting>
        <x14:conditionalFormatting xmlns:xm="http://schemas.microsoft.com/office/excel/2006/main">
          <x14:cfRule type="iconSet" priority="27" id="{8EB30802-3CE8-414C-BF8E-01D95315C8E2}">
            <x14:iconSet custom="1">
              <x14:cfvo type="percent">
                <xm:f>0</xm:f>
              </x14:cfvo>
              <x14:cfvo type="num" gte="0">
                <xm:f>0</xm:f>
              </x14:cfvo>
              <x14:cfvo type="num" gte="0">
                <xm:f>6</xm:f>
              </x14:cfvo>
              <x14:cfIcon iconSet="NoIcons" iconId="0"/>
              <x14:cfIcon iconSet="NoIcons" iconId="0"/>
              <x14:cfIcon iconSet="3Symbols" iconId="0"/>
            </x14:iconSet>
          </x14:cfRule>
          <xm:sqref>F51</xm:sqref>
        </x14:conditionalFormatting>
        <x14:conditionalFormatting xmlns:xm="http://schemas.microsoft.com/office/excel/2006/main">
          <x14:cfRule type="iconSet" priority="29" id="{475DF0A3-8A83-467C-BF27-1C1A86D021C7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30000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G55</xm:sqref>
        </x14:conditionalFormatting>
        <x14:conditionalFormatting xmlns:xm="http://schemas.microsoft.com/office/excel/2006/main">
          <x14:cfRule type="iconSet" priority="33" id="{EFD978A4-700D-4B3A-B7D3-B9DE8A9DE589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30000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G56</xm:sqref>
        </x14:conditionalFormatting>
        <x14:conditionalFormatting xmlns:xm="http://schemas.microsoft.com/office/excel/2006/main">
          <x14:cfRule type="iconSet" priority="26" id="{3FE827E4-2B21-4A3A-BBE2-9C6940040172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30000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G61</xm:sqref>
        </x14:conditionalFormatting>
        <x14:conditionalFormatting xmlns:xm="http://schemas.microsoft.com/office/excel/2006/main">
          <x14:cfRule type="iconSet" priority="37" id="{6A52FAE8-153A-41C3-905F-7151FCE694D3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#REF!*0.03</xm:f>
              </x14:cfvo>
              <x14:cfIcon iconSet="NoIcons" iconId="0"/>
              <x14:cfIcon iconSet="NoIcons" iconId="0"/>
              <x14:cfIcon iconSet="3Symbols" iconId="1"/>
            </x14:iconSet>
          </x14:cfRule>
          <xm:sqref>G71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1E12BA3C-C730-4E06-962C-1890E3545A09}">
          <x14:formula1>
            <xm:f>資料驗證!$A$1:$A$4</xm:f>
          </x14:formula1>
          <xm:sqref>B23</xm:sqref>
        </x14:dataValidation>
        <x14:dataValidation type="list" allowBlank="1" showInputMessage="1" showErrorMessage="1" xr:uid="{1F92A858-A685-4488-BFE6-2FFBAE2D9B1A}">
          <x14:formula1>
            <xm:f>資料驗證!$A$1:$A$3</xm:f>
          </x14:formula1>
          <xm:sqref>B29</xm:sqref>
        </x14:dataValidation>
        <x14:dataValidation type="list" allowBlank="1" showInputMessage="1" showErrorMessage="1" xr:uid="{62AFAF13-0D2D-462E-9990-F1EE11DF34C9}">
          <x14:formula1>
            <xm:f>膳食費!$A$1:$A$6</xm:f>
          </x14:formula1>
          <xm:sqref>B61</xm:sqref>
        </x14:dataValidation>
        <x14:dataValidation type="list" allowBlank="1" showInputMessage="1" xr:uid="{60CB7619-0456-4389-A960-63DA7916BDB1}">
          <x14:formula1>
            <xm:f>膳食費!$A$2:$A$6</xm:f>
          </x14:formula1>
          <xm:sqref>C62:D63</xm:sqref>
        </x14:dataValidation>
        <x14:dataValidation type="list" allowBlank="1" showInputMessage="1" showErrorMessage="1" xr:uid="{DC1353B3-001C-4F62-9D64-604A39050553}">
          <x14:formula1>
            <xm:f>稿費!$A$1:$A$14</xm:f>
          </x14:formula1>
          <xm:sqref>B38</xm:sqref>
        </x14:dataValidation>
        <x14:dataValidation type="list" allowBlank="1" showInputMessage="1" showErrorMessage="1" xr:uid="{BA1F9672-82BA-450F-B707-D9E82B616176}">
          <x14:formula1>
            <xm:f>資料驗證!$C$1:$C$3</xm:f>
          </x14:formula1>
          <xm:sqref>B39 B42</xm:sqref>
        </x14:dataValidation>
        <x14:dataValidation type="list" allowBlank="1" showInputMessage="1" showErrorMessage="1" xr:uid="{D87C3605-A47A-46C2-8226-A32C846D9B6B}">
          <x14:formula1>
            <xm:f>審查費!$A$1:$A$6</xm:f>
          </x14:formula1>
          <xm:sqref>B41</xm:sqref>
        </x14:dataValidation>
        <x14:dataValidation type="list" allowBlank="1" showInputMessage="1" showErrorMessage="1" xr:uid="{BC55DA45-1E28-414A-9A85-3F588A83A442}">
          <x14:formula1>
            <xm:f>資料驗證!$D$1:$D$3</xm:f>
          </x14:formula1>
          <xm:sqref>A76:B78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C7" sqref="C7:C8"/>
    </sheetView>
  </sheetViews>
  <sheetFormatPr defaultColWidth="8.88671875" defaultRowHeight="15.6"/>
  <cols>
    <col min="1" max="1" width="17.77734375" style="1" bestFit="1" customWidth="1"/>
    <col min="2" max="2" width="7" style="1" bestFit="1" customWidth="1"/>
    <col min="3" max="3" width="25.109375" style="1" bestFit="1" customWidth="1"/>
    <col min="4" max="4" width="15.33203125" style="1" bestFit="1" customWidth="1"/>
    <col min="5" max="16384" width="8.88671875" style="1"/>
  </cols>
  <sheetData>
    <row r="1" spans="1:4">
      <c r="A1" s="41" t="s">
        <v>189</v>
      </c>
      <c r="B1" s="41" t="s">
        <v>190</v>
      </c>
      <c r="C1" s="41" t="s">
        <v>191</v>
      </c>
      <c r="D1" s="41" t="s">
        <v>186</v>
      </c>
    </row>
    <row r="2" spans="1:4">
      <c r="A2" s="41" t="s">
        <v>192</v>
      </c>
      <c r="B2" s="41" t="s">
        <v>193</v>
      </c>
      <c r="C2" s="41" t="s">
        <v>194</v>
      </c>
      <c r="D2" s="41" t="s">
        <v>187</v>
      </c>
    </row>
    <row r="3" spans="1:4">
      <c r="A3" s="41" t="s">
        <v>195</v>
      </c>
      <c r="B3" s="41"/>
      <c r="C3" s="41" t="s">
        <v>196</v>
      </c>
      <c r="D3" s="41" t="s">
        <v>188</v>
      </c>
    </row>
    <row r="4" spans="1:4">
      <c r="A4" s="41" t="s">
        <v>197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N14"/>
  <sheetViews>
    <sheetView zoomScale="130" zoomScaleNormal="130" workbookViewId="0">
      <selection activeCell="D13" sqref="D13"/>
    </sheetView>
  </sheetViews>
  <sheetFormatPr defaultColWidth="8.6640625" defaultRowHeight="15.6"/>
  <cols>
    <col min="1" max="1" width="8.6640625" style="1" bestFit="1" customWidth="1"/>
    <col min="2" max="2" width="2.44140625" style="1" bestFit="1" customWidth="1"/>
    <col min="3" max="3" width="8.6640625" style="1" bestFit="1" customWidth="1"/>
    <col min="4" max="4" width="14.33203125" style="1" customWidth="1"/>
    <col min="5" max="5" width="15.21875" style="1" customWidth="1"/>
    <col min="6" max="6" width="3.109375" style="1" customWidth="1"/>
    <col min="7" max="8" width="30.44140625" style="1" customWidth="1"/>
    <col min="9" max="11" width="8.6640625" style="1"/>
    <col min="12" max="12" width="23.6640625" style="1" bestFit="1" customWidth="1"/>
    <col min="13" max="13" width="5.6640625" style="1" bestFit="1" customWidth="1"/>
    <col min="14" max="14" width="14.44140625" style="1" bestFit="1" customWidth="1"/>
    <col min="15" max="15" width="14.6640625" style="1" bestFit="1" customWidth="1"/>
    <col min="16" max="16384" width="8.6640625" style="1"/>
  </cols>
  <sheetData>
    <row r="1" spans="1:14" ht="20.85" customHeight="1" thickBot="1">
      <c r="A1" s="245" t="s">
        <v>198</v>
      </c>
      <c r="B1" s="245"/>
      <c r="C1" s="245"/>
      <c r="D1" s="245"/>
      <c r="E1" s="245"/>
      <c r="G1" s="245" t="s">
        <v>199</v>
      </c>
      <c r="H1" s="245"/>
      <c r="I1" s="51"/>
      <c r="J1" s="51"/>
      <c r="K1" s="51"/>
    </row>
    <row r="2" spans="1:14" s="61" customFormat="1" ht="25.95" customHeight="1" thickBot="1">
      <c r="A2" s="246" t="s">
        <v>200</v>
      </c>
      <c r="B2" s="247"/>
      <c r="C2" s="248"/>
      <c r="D2" s="60" t="s">
        <v>154</v>
      </c>
      <c r="E2" s="60" t="s">
        <v>201</v>
      </c>
      <c r="G2" s="60" t="s">
        <v>202</v>
      </c>
      <c r="H2" s="59" t="s">
        <v>203</v>
      </c>
      <c r="I2" s="62"/>
      <c r="J2" s="62"/>
      <c r="K2" s="62"/>
      <c r="L2" s="62"/>
      <c r="M2" s="62"/>
      <c r="N2" s="63"/>
    </row>
    <row r="3" spans="1:14" ht="16.2" thickBot="1">
      <c r="A3" s="53">
        <v>1</v>
      </c>
      <c r="B3" s="2" t="s">
        <v>204</v>
      </c>
      <c r="C3" s="2">
        <v>1500</v>
      </c>
      <c r="D3" s="47">
        <v>966</v>
      </c>
      <c r="E3" s="54">
        <v>90</v>
      </c>
      <c r="G3" s="52">
        <v>1</v>
      </c>
      <c r="H3" s="50">
        <v>44</v>
      </c>
    </row>
    <row r="4" spans="1:14" ht="16.2" thickBot="1">
      <c r="A4" s="53">
        <v>1501</v>
      </c>
      <c r="B4" s="2" t="s">
        <v>204</v>
      </c>
      <c r="C4" s="2">
        <v>3000</v>
      </c>
      <c r="D4" s="47">
        <v>966</v>
      </c>
      <c r="E4" s="54">
        <v>180</v>
      </c>
      <c r="G4" s="52">
        <v>2</v>
      </c>
      <c r="H4" s="50">
        <v>73</v>
      </c>
    </row>
    <row r="5" spans="1:14" ht="16.2" thickBot="1">
      <c r="A5" s="53">
        <v>3001</v>
      </c>
      <c r="B5" s="2" t="s">
        <v>204</v>
      </c>
      <c r="C5" s="2">
        <v>4500</v>
      </c>
      <c r="D5" s="47">
        <v>966</v>
      </c>
      <c r="E5" s="54">
        <v>270</v>
      </c>
      <c r="G5" s="52">
        <v>3</v>
      </c>
      <c r="H5" s="50">
        <v>102</v>
      </c>
    </row>
    <row r="6" spans="1:14" ht="16.2" thickBot="1">
      <c r="A6" s="53">
        <v>4501</v>
      </c>
      <c r="B6" s="2" t="s">
        <v>204</v>
      </c>
      <c r="C6" s="2">
        <v>6000</v>
      </c>
      <c r="D6" s="47">
        <v>966</v>
      </c>
      <c r="E6" s="54">
        <v>360</v>
      </c>
      <c r="G6" s="52">
        <v>4</v>
      </c>
      <c r="H6" s="50">
        <v>131</v>
      </c>
    </row>
    <row r="7" spans="1:14" ht="16.2" thickBot="1">
      <c r="A7" s="53">
        <v>6001</v>
      </c>
      <c r="B7" s="2" t="s">
        <v>204</v>
      </c>
      <c r="C7" s="2">
        <v>7500</v>
      </c>
      <c r="D7" s="47">
        <v>966</v>
      </c>
      <c r="E7" s="54">
        <v>450</v>
      </c>
      <c r="G7" s="52">
        <v>5</v>
      </c>
      <c r="H7" s="50">
        <v>160</v>
      </c>
    </row>
    <row r="8" spans="1:14" ht="16.2" thickBot="1">
      <c r="A8" s="53">
        <v>7501</v>
      </c>
      <c r="B8" s="2" t="s">
        <v>204</v>
      </c>
      <c r="C8" s="2">
        <v>8700</v>
      </c>
      <c r="D8" s="47">
        <v>966</v>
      </c>
      <c r="E8" s="54">
        <v>522</v>
      </c>
      <c r="G8" s="52">
        <v>6</v>
      </c>
      <c r="H8" s="50">
        <v>189</v>
      </c>
    </row>
    <row r="9" spans="1:14" ht="16.2" thickBot="1">
      <c r="A9" s="53">
        <v>8701</v>
      </c>
      <c r="B9" s="2" t="s">
        <v>204</v>
      </c>
      <c r="C9" s="2">
        <v>9900</v>
      </c>
      <c r="D9" s="47">
        <v>966</v>
      </c>
      <c r="E9" s="54">
        <v>594</v>
      </c>
      <c r="G9" s="52">
        <v>7</v>
      </c>
      <c r="H9" s="49">
        <v>218</v>
      </c>
    </row>
    <row r="10" spans="1:14" ht="16.2" thickBot="1">
      <c r="A10" s="53">
        <v>9901</v>
      </c>
      <c r="B10" s="2" t="s">
        <v>204</v>
      </c>
      <c r="C10" s="2">
        <v>11100</v>
      </c>
      <c r="D10" s="47">
        <v>966</v>
      </c>
      <c r="E10" s="54">
        <v>666</v>
      </c>
      <c r="G10" s="52">
        <v>8</v>
      </c>
      <c r="H10" s="49">
        <v>232</v>
      </c>
    </row>
    <row r="11" spans="1:14" ht="16.2" thickBot="1">
      <c r="A11" s="53">
        <v>11101</v>
      </c>
      <c r="B11" s="2" t="s">
        <v>204</v>
      </c>
      <c r="C11" s="2">
        <v>12540</v>
      </c>
      <c r="D11" s="48">
        <v>1088</v>
      </c>
      <c r="E11" s="54">
        <v>752</v>
      </c>
      <c r="G11" s="52">
        <v>9</v>
      </c>
      <c r="H11" s="49">
        <v>247</v>
      </c>
    </row>
    <row r="12" spans="1:14" ht="16.2" thickBot="1">
      <c r="A12" s="53">
        <v>12541</v>
      </c>
      <c r="B12" s="2" t="s">
        <v>204</v>
      </c>
      <c r="C12" s="2">
        <v>13500</v>
      </c>
      <c r="D12" s="48">
        <v>1169</v>
      </c>
      <c r="E12" s="54">
        <v>810</v>
      </c>
      <c r="G12" s="52">
        <v>10</v>
      </c>
      <c r="H12" s="49">
        <v>261</v>
      </c>
    </row>
    <row r="13" spans="1:14" ht="16.2" thickBot="1">
      <c r="A13" s="55">
        <v>13501</v>
      </c>
      <c r="B13" s="56" t="s">
        <v>204</v>
      </c>
      <c r="C13" s="56">
        <v>15840</v>
      </c>
      <c r="D13" s="57">
        <v>1365</v>
      </c>
      <c r="E13" s="58">
        <v>950</v>
      </c>
      <c r="G13" s="52">
        <v>11</v>
      </c>
      <c r="H13" s="49">
        <v>276</v>
      </c>
    </row>
    <row r="14" spans="1:14" ht="16.2" thickBot="1">
      <c r="G14" s="52">
        <v>12</v>
      </c>
      <c r="H14" s="49">
        <v>290</v>
      </c>
    </row>
  </sheetData>
  <autoFilter ref="A2:E2" xr:uid="{00000000-0009-0000-0000-00000A000000}">
    <filterColumn colId="1" showButton="0"/>
  </autoFilter>
  <mergeCells count="3">
    <mergeCell ref="A1:E1"/>
    <mergeCell ref="A2:C2"/>
    <mergeCell ref="G1:H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稿費</vt:lpstr>
      <vt:lpstr>審查費</vt:lpstr>
      <vt:lpstr>稿費基準</vt:lpstr>
      <vt:lpstr>試算</vt:lpstr>
      <vt:lpstr>工作表4</vt:lpstr>
      <vt:lpstr>使用說明</vt:lpstr>
      <vt:lpstr>計算表</vt:lpstr>
      <vt:lpstr>資料驗證</vt:lpstr>
      <vt:lpstr>級距表</vt:lpstr>
      <vt:lpstr>膳食費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111年教學實踐申請經費試算</dc:title>
  <dc:subject/>
  <dc:creator/>
  <cp:keywords/>
  <dc:description/>
  <cp:lastModifiedBy/>
  <cp:revision/>
  <dcterms:created xsi:type="dcterms:W3CDTF">2006-09-16T00:00:00Z</dcterms:created>
  <dcterms:modified xsi:type="dcterms:W3CDTF">2023-11-24T00:13:31Z</dcterms:modified>
  <cp:category/>
  <cp:contentStatus/>
</cp:coreProperties>
</file>